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agica.anic\Documents\S U Z A N A\P R O R A Č U N\RVI\ZA OBJAVU\"/>
    </mc:Choice>
  </mc:AlternateContent>
  <xr:revisionPtr revIDLastSave="0" documentId="13_ncr:1_{5BFB16AA-C70A-4BE6-A9A3-7FA3211004AA}" xr6:coauthVersionLast="47" xr6:coauthVersionMax="47" xr10:uidLastSave="{00000000-0000-0000-0000-000000000000}"/>
  <bookViews>
    <workbookView xWindow="-120" yWindow="-120" windowWidth="29040" windowHeight="15840" xr2:uid="{0039D45D-40BA-4ED0-B7DE-16DCD152903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3" i="1" l="1"/>
  <c r="H103" i="1"/>
  <c r="D93" i="1"/>
  <c r="E93" i="1"/>
  <c r="F93" i="1"/>
  <c r="G93" i="1"/>
  <c r="H93" i="1"/>
  <c r="D94" i="1"/>
  <c r="E94" i="1"/>
  <c r="F94" i="1"/>
  <c r="G94" i="1"/>
  <c r="H94" i="1"/>
  <c r="D89" i="1"/>
  <c r="E89" i="1"/>
  <c r="F89" i="1"/>
  <c r="G89" i="1"/>
  <c r="H89" i="1"/>
  <c r="D90" i="1"/>
  <c r="E90" i="1"/>
  <c r="F90" i="1"/>
  <c r="G90" i="1"/>
  <c r="H90" i="1"/>
  <c r="D87" i="1"/>
  <c r="E87" i="1"/>
  <c r="F87" i="1"/>
  <c r="G87" i="1"/>
  <c r="H87" i="1"/>
  <c r="H12" i="1"/>
  <c r="G12" i="1"/>
  <c r="G11" i="1"/>
  <c r="H79" i="1"/>
  <c r="F42" i="1"/>
  <c r="E30" i="1" l="1"/>
  <c r="E50" i="1"/>
  <c r="E70" i="1"/>
  <c r="E68" i="1"/>
  <c r="E64" i="1"/>
  <c r="E56" i="1"/>
  <c r="E83" i="1"/>
  <c r="E80" i="1"/>
  <c r="E77" i="1"/>
  <c r="E76" i="1"/>
  <c r="E75" i="1"/>
  <c r="E69" i="1"/>
  <c r="E67" i="1"/>
  <c r="E65" i="1"/>
  <c r="E63" i="1"/>
  <c r="E62" i="1"/>
  <c r="E59" i="1"/>
  <c r="E58" i="1"/>
  <c r="E57" i="1"/>
  <c r="E55" i="1"/>
  <c r="E52" i="1"/>
  <c r="E45" i="1"/>
  <c r="E27" i="1"/>
  <c r="E22" i="1"/>
  <c r="C103" i="1"/>
  <c r="C96" i="1"/>
  <c r="F103" i="1"/>
  <c r="E103" i="1"/>
  <c r="D103" i="1"/>
  <c r="D102" i="1"/>
  <c r="D72" i="1"/>
  <c r="D70" i="1"/>
  <c r="D68" i="1"/>
  <c r="D64" i="1"/>
  <c r="D56" i="1"/>
  <c r="D50" i="1"/>
  <c r="D60" i="1"/>
  <c r="D57" i="1"/>
  <c r="D83" i="1"/>
  <c r="D79" i="1"/>
  <c r="D78" i="1"/>
  <c r="D77" i="1"/>
  <c r="D75" i="1"/>
  <c r="D69" i="1"/>
  <c r="D65" i="1"/>
  <c r="D63" i="1"/>
  <c r="D62" i="1"/>
  <c r="D58" i="1"/>
  <c r="D55" i="1"/>
  <c r="D52" i="1"/>
  <c r="D45" i="1"/>
  <c r="D29" i="1"/>
  <c r="D32" i="1"/>
  <c r="E32" i="1"/>
  <c r="F32" i="1"/>
  <c r="D22" i="1"/>
  <c r="D19" i="1"/>
  <c r="E19" i="1"/>
  <c r="F19" i="1"/>
  <c r="C102" i="1" l="1"/>
  <c r="G102" i="1" s="1"/>
  <c r="C101" i="1"/>
  <c r="G101" i="1" s="1"/>
  <c r="C100" i="1"/>
  <c r="C99" i="1"/>
  <c r="C98" i="1"/>
  <c r="C85" i="1"/>
  <c r="G85" i="1" s="1"/>
  <c r="C84" i="1"/>
  <c r="C83" i="1"/>
  <c r="C80" i="1"/>
  <c r="G80" i="1" s="1"/>
  <c r="C79" i="1"/>
  <c r="G79" i="1" s="1"/>
  <c r="C78" i="1"/>
  <c r="C77" i="1"/>
  <c r="C76" i="1"/>
  <c r="C75" i="1"/>
  <c r="G75" i="1" s="1"/>
  <c r="C74" i="1"/>
  <c r="C72" i="1"/>
  <c r="C70" i="1"/>
  <c r="G70" i="1" s="1"/>
  <c r="C69" i="1"/>
  <c r="G69" i="1" s="1"/>
  <c r="C68" i="1"/>
  <c r="C67" i="1"/>
  <c r="C65" i="1"/>
  <c r="G65" i="1" s="1"/>
  <c r="C64" i="1"/>
  <c r="G64" i="1" s="1"/>
  <c r="C63" i="1"/>
  <c r="C62" i="1"/>
  <c r="C60" i="1"/>
  <c r="G60" i="1" s="1"/>
  <c r="C59" i="1"/>
  <c r="G59" i="1" s="1"/>
  <c r="C58" i="1"/>
  <c r="C57" i="1"/>
  <c r="C56" i="1"/>
  <c r="G56" i="1" s="1"/>
  <c r="C55" i="1"/>
  <c r="C54" i="1" s="1"/>
  <c r="C53" i="1"/>
  <c r="C52" i="1"/>
  <c r="C50" i="1"/>
  <c r="C51" i="1"/>
  <c r="G51" i="1" s="1"/>
  <c r="C47" i="1"/>
  <c r="C42" i="1"/>
  <c r="C45" i="1"/>
  <c r="G45" i="1" s="1"/>
  <c r="E86" i="1"/>
  <c r="F86" i="1"/>
  <c r="D86" i="1"/>
  <c r="F71" i="1"/>
  <c r="C20" i="1"/>
  <c r="C19" i="1" s="1"/>
  <c r="C33" i="1"/>
  <c r="G33" i="1" s="1"/>
  <c r="C29" i="1"/>
  <c r="C24" i="1"/>
  <c r="G24" i="1" s="1"/>
  <c r="C23" i="1"/>
  <c r="C22" i="1" s="1"/>
  <c r="C18" i="1"/>
  <c r="H102" i="1"/>
  <c r="H101" i="1"/>
  <c r="H100" i="1"/>
  <c r="G100" i="1"/>
  <c r="H98" i="1"/>
  <c r="G98" i="1"/>
  <c r="F97" i="1"/>
  <c r="E97" i="1"/>
  <c r="E96" i="1" s="1"/>
  <c r="D97" i="1"/>
  <c r="D96" i="1" s="1"/>
  <c r="D92" i="1" s="1"/>
  <c r="C94" i="1"/>
  <c r="C93" i="1" s="1"/>
  <c r="C90" i="1"/>
  <c r="C87" i="1"/>
  <c r="H85" i="1"/>
  <c r="H84" i="1"/>
  <c r="G84" i="1"/>
  <c r="H83" i="1"/>
  <c r="G83" i="1"/>
  <c r="F82" i="1"/>
  <c r="E82" i="1"/>
  <c r="E81" i="1" s="1"/>
  <c r="D82" i="1"/>
  <c r="D81" i="1" s="1"/>
  <c r="H80" i="1"/>
  <c r="H78" i="1"/>
  <c r="G78" i="1"/>
  <c r="H77" i="1"/>
  <c r="G77" i="1"/>
  <c r="H76" i="1"/>
  <c r="G76" i="1"/>
  <c r="H75" i="1"/>
  <c r="H74" i="1"/>
  <c r="G74" i="1"/>
  <c r="F73" i="1"/>
  <c r="E73" i="1"/>
  <c r="D73" i="1"/>
  <c r="H72" i="1"/>
  <c r="G72" i="1"/>
  <c r="E71" i="1"/>
  <c r="D71" i="1"/>
  <c r="C71" i="1"/>
  <c r="G71" i="1" s="1"/>
  <c r="H70" i="1"/>
  <c r="H69" i="1"/>
  <c r="H68" i="1"/>
  <c r="G68" i="1"/>
  <c r="H67" i="1"/>
  <c r="G67" i="1"/>
  <c r="H66" i="1"/>
  <c r="H65" i="1"/>
  <c r="H64" i="1"/>
  <c r="H63" i="1"/>
  <c r="G63" i="1"/>
  <c r="H62" i="1"/>
  <c r="G62" i="1"/>
  <c r="F61" i="1"/>
  <c r="E61" i="1"/>
  <c r="D61" i="1"/>
  <c r="H60" i="1"/>
  <c r="H59" i="1"/>
  <c r="H58" i="1"/>
  <c r="G58" i="1"/>
  <c r="H57" i="1"/>
  <c r="G57" i="1"/>
  <c r="H56" i="1"/>
  <c r="H55" i="1"/>
  <c r="F54" i="1"/>
  <c r="E54" i="1"/>
  <c r="D54" i="1"/>
  <c r="H53" i="1"/>
  <c r="G53" i="1"/>
  <c r="H52" i="1"/>
  <c r="G52" i="1"/>
  <c r="H51" i="1"/>
  <c r="H50" i="1"/>
  <c r="G50" i="1"/>
  <c r="F49" i="1"/>
  <c r="E49" i="1"/>
  <c r="D49" i="1"/>
  <c r="H47" i="1"/>
  <c r="G47" i="1"/>
  <c r="F46" i="1"/>
  <c r="E46" i="1"/>
  <c r="D46" i="1"/>
  <c r="C46" i="1"/>
  <c r="H45" i="1"/>
  <c r="F44" i="1"/>
  <c r="E44" i="1"/>
  <c r="D44" i="1"/>
  <c r="H42" i="1"/>
  <c r="G42" i="1"/>
  <c r="F41" i="1"/>
  <c r="E41" i="1"/>
  <c r="D41" i="1"/>
  <c r="C41" i="1"/>
  <c r="H33" i="1"/>
  <c r="H32" i="1"/>
  <c r="E31" i="1"/>
  <c r="D31" i="1"/>
  <c r="F31" i="1"/>
  <c r="H29" i="1"/>
  <c r="G29" i="1"/>
  <c r="F28" i="1"/>
  <c r="E28" i="1"/>
  <c r="D28" i="1"/>
  <c r="D27" i="1" s="1"/>
  <c r="C28" i="1"/>
  <c r="H23" i="1"/>
  <c r="G23" i="1"/>
  <c r="F22" i="1"/>
  <c r="H18" i="1"/>
  <c r="G18" i="1"/>
  <c r="F17" i="1"/>
  <c r="E17" i="1"/>
  <c r="D17" i="1"/>
  <c r="C17" i="1"/>
  <c r="F14" i="1"/>
  <c r="E14" i="1"/>
  <c r="D14" i="1"/>
  <c r="C14" i="1"/>
  <c r="G86" i="1" l="1"/>
  <c r="C44" i="1"/>
  <c r="C73" i="1"/>
  <c r="H71" i="1"/>
  <c r="G20" i="1"/>
  <c r="E21" i="1"/>
  <c r="C49" i="1"/>
  <c r="C48" i="1" s="1"/>
  <c r="G55" i="1"/>
  <c r="C97" i="1"/>
  <c r="C92" i="1" s="1"/>
  <c r="C61" i="1"/>
  <c r="G61" i="1" s="1"/>
  <c r="C82" i="1"/>
  <c r="C81" i="1" s="1"/>
  <c r="H28" i="1"/>
  <c r="C32" i="1"/>
  <c r="C31" i="1" s="1"/>
  <c r="G31" i="1" s="1"/>
  <c r="C13" i="1"/>
  <c r="F48" i="1"/>
  <c r="D40" i="1"/>
  <c r="H86" i="1"/>
  <c r="F27" i="1"/>
  <c r="H27" i="1" s="1"/>
  <c r="D21" i="1"/>
  <c r="H22" i="1"/>
  <c r="F21" i="1"/>
  <c r="D13" i="1"/>
  <c r="G97" i="1"/>
  <c r="F81" i="1"/>
  <c r="E48" i="1"/>
  <c r="G54" i="1"/>
  <c r="G46" i="1"/>
  <c r="C40" i="1"/>
  <c r="G41" i="1"/>
  <c r="G19" i="1"/>
  <c r="E92" i="1"/>
  <c r="E13" i="1"/>
  <c r="H17" i="1"/>
  <c r="E40" i="1"/>
  <c r="G22" i="1"/>
  <c r="G28" i="1"/>
  <c r="F40" i="1"/>
  <c r="H49" i="1"/>
  <c r="H41" i="1"/>
  <c r="G44" i="1"/>
  <c r="D48" i="1"/>
  <c r="H61" i="1"/>
  <c r="H73" i="1"/>
  <c r="H82" i="1"/>
  <c r="G17" i="1"/>
  <c r="C21" i="1"/>
  <c r="C27" i="1"/>
  <c r="H31" i="1"/>
  <c r="H44" i="1"/>
  <c r="H46" i="1"/>
  <c r="H54" i="1"/>
  <c r="G73" i="1"/>
  <c r="F96" i="1"/>
  <c r="F92" i="1" s="1"/>
  <c r="H97" i="1"/>
  <c r="F13" i="1"/>
  <c r="C86" i="1"/>
  <c r="C89" i="1"/>
  <c r="D12" i="1" l="1"/>
  <c r="D11" i="1" s="1"/>
  <c r="F12" i="1"/>
  <c r="F11" i="1" s="1"/>
  <c r="E39" i="1"/>
  <c r="E38" i="1" s="1"/>
  <c r="H21" i="1"/>
  <c r="E12" i="1"/>
  <c r="E11" i="1" s="1"/>
  <c r="G32" i="1"/>
  <c r="G49" i="1"/>
  <c r="G48" i="1"/>
  <c r="G27" i="1"/>
  <c r="G81" i="1"/>
  <c r="G82" i="1"/>
  <c r="C12" i="1"/>
  <c r="C11" i="1" s="1"/>
  <c r="C39" i="1"/>
  <c r="C38" i="1" s="1"/>
  <c r="H48" i="1"/>
  <c r="G40" i="1"/>
  <c r="D39" i="1"/>
  <c r="D38" i="1" s="1"/>
  <c r="H81" i="1"/>
  <c r="H40" i="1"/>
  <c r="F39" i="1"/>
  <c r="F38" i="1" s="1"/>
  <c r="G21" i="1"/>
  <c r="G92" i="1"/>
  <c r="H92" i="1"/>
  <c r="H13" i="1"/>
  <c r="G13" i="1"/>
  <c r="G96" i="1"/>
  <c r="H96" i="1"/>
  <c r="H11" i="1" l="1"/>
  <c r="H39" i="1"/>
  <c r="G39" i="1"/>
  <c r="G38" i="1"/>
  <c r="H38" i="1"/>
</calcChain>
</file>

<file path=xl/sharedStrings.xml><?xml version="1.0" encoding="utf-8"?>
<sst xmlns="http://schemas.openxmlformats.org/spreadsheetml/2006/main" count="207" uniqueCount="188">
  <si>
    <t>Godišnji izvještaj o izvršenju Financijskog plana za 2023. godinu</t>
  </si>
  <si>
    <t>Opći dio - Račun prihoda i rashoda prema ekonomskoj klasifikaciji</t>
  </si>
  <si>
    <t>VRSTA PRIHODA / PRIMITAKA</t>
  </si>
  <si>
    <t>IZVRŠENJE 
2022.</t>
  </si>
  <si>
    <t>IZVORNI PLAN
2023.</t>
  </si>
  <si>
    <t>TEKUĆI PLAN 
2023.</t>
  </si>
  <si>
    <t>Ukupno ostvareno</t>
  </si>
  <si>
    <t>INDEKS IZVRŠENJA
2023./2022.</t>
  </si>
  <si>
    <t>INDEKS IZVRŠENJA
FP - 2023.</t>
  </si>
  <si>
    <t>1.</t>
  </si>
  <si>
    <t>2.</t>
  </si>
  <si>
    <t>3.</t>
  </si>
  <si>
    <t>4.</t>
  </si>
  <si>
    <t>5.</t>
  </si>
  <si>
    <t>6.</t>
  </si>
  <si>
    <t>7.(6/3*100)</t>
  </si>
  <si>
    <t>8.(6/5*100)</t>
  </si>
  <si>
    <t>SVEUKUPNO PRIHODI</t>
  </si>
  <si>
    <t>6</t>
  </si>
  <si>
    <t>Prihodi poslovanja</t>
  </si>
  <si>
    <t>63</t>
  </si>
  <si>
    <t>Pomoći iz inozemstva i od subjekata unutar općeg proračuna</t>
  </si>
  <si>
    <t>632</t>
  </si>
  <si>
    <t>Pomoći od međunarodnih organizacija te institucija i tijela EU</t>
  </si>
  <si>
    <t>6321</t>
  </si>
  <si>
    <t>Tekuće pomoći od međunarodnih organizacija</t>
  </si>
  <si>
    <t>6323</t>
  </si>
  <si>
    <t>Tekuće pomoći od institucija i tijela  EU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</si>
  <si>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</si>
  <si>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</si>
  <si>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</si>
  <si>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</si>
  <si>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</si>
  <si>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</si>
  <si>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</si>
  <si>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</si>
  <si>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</si>
  <si>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</si>
  <si>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6415</t>
  </si>
  <si>
    <t>Prihodi od pozitivnih tečajnih razlika i razlika zbog primjene valutne klauzule</t>
  </si>
  <si>
    <t>642</t>
  </si>
  <si>
    <t>Prihodi od nefinancijske imovine</t>
  </si>
  <si>
    <t>6425</t>
  </si>
  <si>
    <t>Prihodi od prodaje kratkotrajne nefinancijske imovine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</si>
  <si>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</si>
  <si>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</si>
  <si>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</si>
  <si>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</si>
  <si>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</si>
  <si>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</si>
  <si>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Prihodi iz nadležnog proračuna</t>
  </si>
  <si>
    <t>Prihodi iz nadležnog proračuna za financiranje redovne djelatnosti proračunskih korisnika</t>
  </si>
  <si>
    <t>Prihodi iz nadležnog proračuna za financiranje rashoda poslovanja</t>
  </si>
  <si>
    <t>Prihodi iz nadležnog proračuna za nabavu nefinancijske imovine</t>
  </si>
  <si>
    <t>VRSTA RASHODA / IZDATAKA</t>
  </si>
  <si>
    <t>SVEUKUPNO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</si>
  <si>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</si>
  <si>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</si>
  <si>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</si>
  <si>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</si>
  <si>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</si>
  <si>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</si>
  <si>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</si>
  <si>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</si>
  <si>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3112</t>
  </si>
  <si>
    <t>Plaće u naravi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</si>
  <si>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</si>
  <si>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</si>
  <si>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</si>
  <si>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</si>
  <si>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</si>
  <si>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</si>
  <si>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</si>
  <si>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</si>
  <si>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</si>
  <si>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</si>
  <si>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</si>
  <si>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</si>
  <si>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</si>
  <si>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</si>
  <si>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</si>
  <si>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</si>
  <si>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</si>
  <si>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</si>
  <si>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</si>
  <si>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</si>
  <si>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</si>
  <si>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</si>
  <si>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</si>
  <si>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</si>
  <si>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</si>
  <si>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</si>
  <si>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</si>
  <si>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</si>
  <si>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</si>
  <si>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</si>
  <si>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</si>
  <si>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</si>
  <si>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</si>
  <si>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</si>
  <si>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</si>
  <si>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</si>
  <si>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</si>
  <si>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</si>
  <si>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</si>
  <si>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</si>
  <si>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</si>
  <si>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</si>
  <si>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</si>
  <si>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</si>
  <si>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</si>
  <si>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</si>
  <si>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</si>
  <si>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</si>
  <si>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</si>
  <si>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</si>
  <si>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</si>
  <si>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</si>
  <si>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</si>
  <si>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</si>
  <si>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</si>
  <si>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</si>
  <si>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</si>
  <si>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</si>
  <si>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</si>
  <si>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</si>
  <si>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</si>
  <si>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</si>
  <si>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</si>
  <si>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</si>
  <si>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</si>
  <si>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</si>
  <si>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</si>
  <si>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</si>
  <si>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</si>
  <si>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</si>
  <si>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</si>
  <si>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</si>
  <si>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</si>
  <si>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</si>
  <si>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</si>
  <si>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</si>
  <si>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</si>
  <si>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3432</t>
  </si>
  <si>
    <t>Negativne tečajne razlike i razlike zbog primjene valutne klauzule</t>
  </si>
  <si>
    <t>3433</t>
  </si>
  <si>
    <t>Zatezne kamate</t>
  </si>
  <si>
    <t>36</t>
  </si>
  <si>
    <t>Pomoći dane u inozemstvo i unutar općeg proračuna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</si>
  <si>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</si>
  <si>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</si>
  <si>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</si>
  <si>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</si>
  <si>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</si>
  <si>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</si>
  <si>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</si>
  <si>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</si>
  <si>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</si>
  <si>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</si>
  <si>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4</t>
  </si>
  <si>
    <t>Rashodi za nabavu nefinancijske imovine</t>
  </si>
  <si>
    <t>41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</si>
  <si>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</si>
  <si>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</si>
  <si>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</si>
  <si>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</si>
  <si>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</si>
  <si>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</si>
  <si>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</si>
  <si>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</si>
  <si>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</si>
  <si>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</si>
  <si>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</si>
  <si>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</si>
  <si>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</si>
  <si>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</si>
  <si>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</si>
  <si>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4226</t>
  </si>
  <si>
    <t>Sportska i glazbena oprema</t>
  </si>
  <si>
    <t>4227</t>
  </si>
  <si>
    <t>Uređaji, strojevi i oprema za ostale namjene</t>
  </si>
  <si>
    <t>GRADSKO KAZALIŠTE ŽAR PTICA</t>
  </si>
  <si>
    <t>BIJENIČKA CESTA 97</t>
  </si>
  <si>
    <t>OIB:84398178962</t>
  </si>
  <si>
    <t>Tekuće pomoć iz drž.proračuna temeljem prijenosa EU sredstava</t>
  </si>
  <si>
    <t>Višak prihoda</t>
  </si>
  <si>
    <t>Prijevozna sredstva u cestovnom prometu</t>
  </si>
  <si>
    <t xml:space="preserve">Prijevozna sredstva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</si>
</sst>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A]d\.m\.yyyy\."/>
    <numFmt numFmtId="165" formatCode="[$-1041A]#,##0.00;\-#,##0.00"/>
  </numFmts>
  <fonts count="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charset val="238"/>
    </font>
    <font>
      <b/>
      <sz val="11.95"/>
      <name val="Arial"/>
      <charset val="238"/>
    </font>
    <font>
      <sz val="9"/>
      <name val="Tahoma"/>
      <family val="2"/>
      <charset val="238"/>
    </font>
    <font>
      <sz val="9"/>
      <name val="Tahoma"/>
      <charset val="238"/>
    </font>
    <font>
      <sz val="8"/>
      <name val="Arial"/>
      <family val="2"/>
      <charset val="238"/>
    </font>
    <font>
      <sz val="8"/>
      <name val="Arial"/>
      <charset val="238"/>
    </font>
    <font>
      <b/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4" tint="0.39997558519241921"/>
        <bgColor indexed="0"/>
      </patternFill>
    </fill>
  </fills>
  <borders count="4">
    <border>
      <left/>
      <right/>
      <top/>
      <bottom/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Alignment="1">
      <alignment horizontal="left" indent="1"/>
    </xf>
    <xf numFmtId="0" fontId="1" fillId="2" borderId="0" xfId="0" applyFont="1" applyFill="1"/>
    <xf numFmtId="0" fontId="2" fillId="2" borderId="0" xfId="0" applyFont="1" applyFill="1" applyAlignment="1">
      <alignment horizontal="right" vertical="top" wrapText="1" readingOrder="1"/>
    </xf>
    <xf numFmtId="164" fontId="2" fillId="2" borderId="0" xfId="0" applyNumberFormat="1" applyFont="1" applyFill="1" applyAlignment="1">
      <alignment horizontal="left" vertical="top" wrapText="1" readingOrder="1"/>
    </xf>
    <xf numFmtId="0" fontId="2" fillId="2" borderId="0" xfId="0" applyFont="1" applyFill="1" applyAlignment="1">
      <alignment horizontal="left" vertical="top" wrapText="1" indent="1" readingOrder="1"/>
    </xf>
    <xf numFmtId="0" fontId="3" fillId="2" borderId="0" xfId="0" applyFont="1" applyFill="1" applyAlignment="1">
      <alignment horizontal="left" vertical="top" wrapText="1" readingOrder="1"/>
    </xf>
    <xf numFmtId="0" fontId="5" fillId="3" borderId="1" xfId="0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readingOrder="1"/>
    </xf>
    <xf numFmtId="0" fontId="4" fillId="3" borderId="1" xfId="0" applyFont="1" applyFill="1" applyBorder="1" applyAlignment="1">
      <alignment horizontal="center" vertical="center" wrapText="1" readingOrder="1"/>
    </xf>
    <xf numFmtId="0" fontId="7" fillId="3" borderId="0" xfId="0" applyFont="1" applyFill="1" applyAlignment="1">
      <alignment horizontal="left" vertical="center" wrapText="1" indent="1" readingOrder="1"/>
    </xf>
    <xf numFmtId="4" fontId="7" fillId="3" borderId="0" xfId="0" applyNumberFormat="1" applyFont="1" applyFill="1" applyAlignment="1">
      <alignment vertical="center" wrapText="1" readingOrder="1"/>
    </xf>
    <xf numFmtId="0" fontId="7" fillId="3" borderId="0" xfId="0" applyFont="1" applyFill="1" applyAlignment="1">
      <alignment vertical="center" readingOrder="1"/>
    </xf>
    <xf numFmtId="0" fontId="7" fillId="3" borderId="0" xfId="0" applyFont="1" applyFill="1" applyAlignment="1">
      <alignment vertical="center" wrapText="1" readingOrder="1"/>
    </xf>
    <xf numFmtId="4" fontId="7" fillId="3" borderId="0" xfId="0" applyNumberFormat="1" applyFont="1" applyFill="1" applyAlignment="1">
      <alignment horizontal="right" vertical="center" wrapText="1" readingOrder="1"/>
    </xf>
    <xf numFmtId="0" fontId="6" fillId="3" borderId="0" xfId="0" applyFont="1" applyFill="1" applyAlignment="1">
      <alignment vertical="center" wrapText="1" readingOrder="1"/>
    </xf>
    <xf numFmtId="165" fontId="8" fillId="4" borderId="0" xfId="0" applyNumberFormat="1" applyFont="1" applyFill="1" applyAlignment="1">
      <alignment vertical="center" wrapText="1" readingOrder="1"/>
    </xf>
    <xf numFmtId="165" fontId="8" fillId="4" borderId="0" xfId="0" applyNumberFormat="1" applyFont="1" applyFill="1" applyAlignment="1">
      <alignment horizontal="center" vertical="center" wrapText="1" readingOrder="1"/>
    </xf>
    <xf numFmtId="0" fontId="7" fillId="5" borderId="0" xfId="0" applyFont="1" applyFill="1" applyAlignment="1">
      <alignment horizontal="left" vertical="center" wrapText="1" indent="1" readingOrder="1"/>
    </xf>
    <xf numFmtId="0" fontId="7" fillId="5" borderId="2" xfId="0" applyFont="1" applyFill="1" applyBorder="1" applyAlignment="1">
      <alignment vertical="center" readingOrder="1"/>
    </xf>
    <xf numFmtId="4" fontId="7" fillId="5" borderId="0" xfId="0" applyNumberFormat="1" applyFont="1" applyFill="1" applyAlignment="1">
      <alignment vertical="center" wrapText="1" readingOrder="1"/>
    </xf>
    <xf numFmtId="165" fontId="7" fillId="5" borderId="0" xfId="0" applyNumberFormat="1" applyFont="1" applyFill="1" applyAlignment="1">
      <alignment horizontal="right" vertical="center" wrapText="1" readingOrder="1"/>
    </xf>
    <xf numFmtId="0" fontId="2" fillId="2" borderId="0" xfId="0" applyFont="1" applyFill="1" applyAlignment="1">
      <alignment vertical="top" wrapText="1" readingOrder="1"/>
    </xf>
    <xf numFmtId="0" fontId="1" fillId="2" borderId="0" xfId="0" applyFont="1" applyFill="1"/>
    <xf numFmtId="0" fontId="3" fillId="2" borderId="0" xfId="0" applyFont="1" applyFill="1" applyAlignment="1">
      <alignment horizontal="left" vertical="top" wrapText="1" readingOrder="1"/>
    </xf>
    <xf numFmtId="165" fontId="8" fillId="4" borderId="0" xfId="0" applyNumberFormat="1" applyFont="1" applyFill="1" applyAlignment="1">
      <alignment horizontal="left" vertical="center" wrapText="1" readingOrder="1"/>
    </xf>
    <xf numFmtId="0" fontId="8" fillId="4" borderId="3" xfId="0" applyFont="1" applyFill="1" applyBorder="1" applyAlignment="1">
      <alignment horizontal="center" vertical="center" wrapText="1" readingOrder="1"/>
    </xf>
    <xf numFmtId="4" fontId="1" fillId="2" borderId="0" xfId="0" applyNumberFormat="1" applyFont="1" applyFill="1"/>
    <xf numFmtId="4" fontId="6" fillId="3" borderId="0" xfId="0" applyNumberFormat="1" applyFont="1" applyFill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7BFE4-D394-4295-ADD1-C194E6077465}">
  <dimension ref="A1:K104"/>
  <sheetViews>
    <sheetView tabSelected="1" topLeftCell="A7" workbookViewId="0">
      <selection activeCell="F38" sqref="F38"/>
    </sheetView>
  </sheetViews>
  <sheetFormatPr defaultRowHeight="15" x14ac:dyDescent="0.25"/>
  <cols>
    <col min="1" max="1" width="6.85546875" style="1" customWidth="1"/>
    <col min="2" max="2" width="35.7109375" style="2" customWidth="1"/>
    <col min="3" max="6" width="14.28515625" style="2" customWidth="1"/>
    <col min="7" max="7" width="12.7109375" style="2" customWidth="1"/>
    <col min="8" max="8" width="13.42578125" style="2" customWidth="1"/>
    <col min="9" max="10" width="9.140625" style="2"/>
    <col min="11" max="11" width="10.140625" style="2" bestFit="1" customWidth="1"/>
    <col min="12" max="256" width="9.140625" style="2"/>
    <col min="257" max="257" width="6.85546875" style="2" customWidth="1"/>
    <col min="258" max="258" width="35.7109375" style="2" customWidth="1"/>
    <col min="259" max="262" width="14.28515625" style="2" customWidth="1"/>
    <col min="263" max="263" width="12.7109375" style="2" customWidth="1"/>
    <col min="264" max="264" width="13.42578125" style="2" customWidth="1"/>
    <col min="265" max="512" width="9.140625" style="2"/>
    <col min="513" max="513" width="6.85546875" style="2" customWidth="1"/>
    <col min="514" max="514" width="35.7109375" style="2" customWidth="1"/>
    <col min="515" max="518" width="14.28515625" style="2" customWidth="1"/>
    <col min="519" max="519" width="12.7109375" style="2" customWidth="1"/>
    <col min="520" max="520" width="13.42578125" style="2" customWidth="1"/>
    <col min="521" max="768" width="9.140625" style="2"/>
    <col min="769" max="769" width="6.85546875" style="2" customWidth="1"/>
    <col min="770" max="770" width="35.7109375" style="2" customWidth="1"/>
    <col min="771" max="774" width="14.28515625" style="2" customWidth="1"/>
    <col min="775" max="775" width="12.7109375" style="2" customWidth="1"/>
    <col min="776" max="776" width="13.42578125" style="2" customWidth="1"/>
    <col min="777" max="1024" width="9.140625" style="2"/>
    <col min="1025" max="1025" width="6.85546875" style="2" customWidth="1"/>
    <col min="1026" max="1026" width="35.7109375" style="2" customWidth="1"/>
    <col min="1027" max="1030" width="14.28515625" style="2" customWidth="1"/>
    <col min="1031" max="1031" width="12.7109375" style="2" customWidth="1"/>
    <col min="1032" max="1032" width="13.42578125" style="2" customWidth="1"/>
    <col min="1033" max="1280" width="9.140625" style="2"/>
    <col min="1281" max="1281" width="6.85546875" style="2" customWidth="1"/>
    <col min="1282" max="1282" width="35.7109375" style="2" customWidth="1"/>
    <col min="1283" max="1286" width="14.28515625" style="2" customWidth="1"/>
    <col min="1287" max="1287" width="12.7109375" style="2" customWidth="1"/>
    <col min="1288" max="1288" width="13.42578125" style="2" customWidth="1"/>
    <col min="1289" max="1536" width="9.140625" style="2"/>
    <col min="1537" max="1537" width="6.85546875" style="2" customWidth="1"/>
    <col min="1538" max="1538" width="35.7109375" style="2" customWidth="1"/>
    <col min="1539" max="1542" width="14.28515625" style="2" customWidth="1"/>
    <col min="1543" max="1543" width="12.7109375" style="2" customWidth="1"/>
    <col min="1544" max="1544" width="13.42578125" style="2" customWidth="1"/>
    <col min="1545" max="1792" width="9.140625" style="2"/>
    <col min="1793" max="1793" width="6.85546875" style="2" customWidth="1"/>
    <col min="1794" max="1794" width="35.7109375" style="2" customWidth="1"/>
    <col min="1795" max="1798" width="14.28515625" style="2" customWidth="1"/>
    <col min="1799" max="1799" width="12.7109375" style="2" customWidth="1"/>
    <col min="1800" max="1800" width="13.42578125" style="2" customWidth="1"/>
    <col min="1801" max="2048" width="9.140625" style="2"/>
    <col min="2049" max="2049" width="6.85546875" style="2" customWidth="1"/>
    <col min="2050" max="2050" width="35.7109375" style="2" customWidth="1"/>
    <col min="2051" max="2054" width="14.28515625" style="2" customWidth="1"/>
    <col min="2055" max="2055" width="12.7109375" style="2" customWidth="1"/>
    <col min="2056" max="2056" width="13.42578125" style="2" customWidth="1"/>
    <col min="2057" max="2304" width="9.140625" style="2"/>
    <col min="2305" max="2305" width="6.85546875" style="2" customWidth="1"/>
    <col min="2306" max="2306" width="35.7109375" style="2" customWidth="1"/>
    <col min="2307" max="2310" width="14.28515625" style="2" customWidth="1"/>
    <col min="2311" max="2311" width="12.7109375" style="2" customWidth="1"/>
    <col min="2312" max="2312" width="13.42578125" style="2" customWidth="1"/>
    <col min="2313" max="2560" width="9.140625" style="2"/>
    <col min="2561" max="2561" width="6.85546875" style="2" customWidth="1"/>
    <col min="2562" max="2562" width="35.7109375" style="2" customWidth="1"/>
    <col min="2563" max="2566" width="14.28515625" style="2" customWidth="1"/>
    <col min="2567" max="2567" width="12.7109375" style="2" customWidth="1"/>
    <col min="2568" max="2568" width="13.42578125" style="2" customWidth="1"/>
    <col min="2569" max="2816" width="9.140625" style="2"/>
    <col min="2817" max="2817" width="6.85546875" style="2" customWidth="1"/>
    <col min="2818" max="2818" width="35.7109375" style="2" customWidth="1"/>
    <col min="2819" max="2822" width="14.28515625" style="2" customWidth="1"/>
    <col min="2823" max="2823" width="12.7109375" style="2" customWidth="1"/>
    <col min="2824" max="2824" width="13.42578125" style="2" customWidth="1"/>
    <col min="2825" max="3072" width="9.140625" style="2"/>
    <col min="3073" max="3073" width="6.85546875" style="2" customWidth="1"/>
    <col min="3074" max="3074" width="35.7109375" style="2" customWidth="1"/>
    <col min="3075" max="3078" width="14.28515625" style="2" customWidth="1"/>
    <col min="3079" max="3079" width="12.7109375" style="2" customWidth="1"/>
    <col min="3080" max="3080" width="13.42578125" style="2" customWidth="1"/>
    <col min="3081" max="3328" width="9.140625" style="2"/>
    <col min="3329" max="3329" width="6.85546875" style="2" customWidth="1"/>
    <col min="3330" max="3330" width="35.7109375" style="2" customWidth="1"/>
    <col min="3331" max="3334" width="14.28515625" style="2" customWidth="1"/>
    <col min="3335" max="3335" width="12.7109375" style="2" customWidth="1"/>
    <col min="3336" max="3336" width="13.42578125" style="2" customWidth="1"/>
    <col min="3337" max="3584" width="9.140625" style="2"/>
    <col min="3585" max="3585" width="6.85546875" style="2" customWidth="1"/>
    <col min="3586" max="3586" width="35.7109375" style="2" customWidth="1"/>
    <col min="3587" max="3590" width="14.28515625" style="2" customWidth="1"/>
    <col min="3591" max="3591" width="12.7109375" style="2" customWidth="1"/>
    <col min="3592" max="3592" width="13.42578125" style="2" customWidth="1"/>
    <col min="3593" max="3840" width="9.140625" style="2"/>
    <col min="3841" max="3841" width="6.85546875" style="2" customWidth="1"/>
    <col min="3842" max="3842" width="35.7109375" style="2" customWidth="1"/>
    <col min="3843" max="3846" width="14.28515625" style="2" customWidth="1"/>
    <col min="3847" max="3847" width="12.7109375" style="2" customWidth="1"/>
    <col min="3848" max="3848" width="13.42578125" style="2" customWidth="1"/>
    <col min="3849" max="4096" width="9.140625" style="2"/>
    <col min="4097" max="4097" width="6.85546875" style="2" customWidth="1"/>
    <col min="4098" max="4098" width="35.7109375" style="2" customWidth="1"/>
    <col min="4099" max="4102" width="14.28515625" style="2" customWidth="1"/>
    <col min="4103" max="4103" width="12.7109375" style="2" customWidth="1"/>
    <col min="4104" max="4104" width="13.42578125" style="2" customWidth="1"/>
    <col min="4105" max="4352" width="9.140625" style="2"/>
    <col min="4353" max="4353" width="6.85546875" style="2" customWidth="1"/>
    <col min="4354" max="4354" width="35.7109375" style="2" customWidth="1"/>
    <col min="4355" max="4358" width="14.28515625" style="2" customWidth="1"/>
    <col min="4359" max="4359" width="12.7109375" style="2" customWidth="1"/>
    <col min="4360" max="4360" width="13.42578125" style="2" customWidth="1"/>
    <col min="4361" max="4608" width="9.140625" style="2"/>
    <col min="4609" max="4609" width="6.85546875" style="2" customWidth="1"/>
    <col min="4610" max="4610" width="35.7109375" style="2" customWidth="1"/>
    <col min="4611" max="4614" width="14.28515625" style="2" customWidth="1"/>
    <col min="4615" max="4615" width="12.7109375" style="2" customWidth="1"/>
    <col min="4616" max="4616" width="13.42578125" style="2" customWidth="1"/>
    <col min="4617" max="4864" width="9.140625" style="2"/>
    <col min="4865" max="4865" width="6.85546875" style="2" customWidth="1"/>
    <col min="4866" max="4866" width="35.7109375" style="2" customWidth="1"/>
    <col min="4867" max="4870" width="14.28515625" style="2" customWidth="1"/>
    <col min="4871" max="4871" width="12.7109375" style="2" customWidth="1"/>
    <col min="4872" max="4872" width="13.42578125" style="2" customWidth="1"/>
    <col min="4873" max="5120" width="9.140625" style="2"/>
    <col min="5121" max="5121" width="6.85546875" style="2" customWidth="1"/>
    <col min="5122" max="5122" width="35.7109375" style="2" customWidth="1"/>
    <col min="5123" max="5126" width="14.28515625" style="2" customWidth="1"/>
    <col min="5127" max="5127" width="12.7109375" style="2" customWidth="1"/>
    <col min="5128" max="5128" width="13.42578125" style="2" customWidth="1"/>
    <col min="5129" max="5376" width="9.140625" style="2"/>
    <col min="5377" max="5377" width="6.85546875" style="2" customWidth="1"/>
    <col min="5378" max="5378" width="35.7109375" style="2" customWidth="1"/>
    <col min="5379" max="5382" width="14.28515625" style="2" customWidth="1"/>
    <col min="5383" max="5383" width="12.7109375" style="2" customWidth="1"/>
    <col min="5384" max="5384" width="13.42578125" style="2" customWidth="1"/>
    <col min="5385" max="5632" width="9.140625" style="2"/>
    <col min="5633" max="5633" width="6.85546875" style="2" customWidth="1"/>
    <col min="5634" max="5634" width="35.7109375" style="2" customWidth="1"/>
    <col min="5635" max="5638" width="14.28515625" style="2" customWidth="1"/>
    <col min="5639" max="5639" width="12.7109375" style="2" customWidth="1"/>
    <col min="5640" max="5640" width="13.42578125" style="2" customWidth="1"/>
    <col min="5641" max="5888" width="9.140625" style="2"/>
    <col min="5889" max="5889" width="6.85546875" style="2" customWidth="1"/>
    <col min="5890" max="5890" width="35.7109375" style="2" customWidth="1"/>
    <col min="5891" max="5894" width="14.28515625" style="2" customWidth="1"/>
    <col min="5895" max="5895" width="12.7109375" style="2" customWidth="1"/>
    <col min="5896" max="5896" width="13.42578125" style="2" customWidth="1"/>
    <col min="5897" max="6144" width="9.140625" style="2"/>
    <col min="6145" max="6145" width="6.85546875" style="2" customWidth="1"/>
    <col min="6146" max="6146" width="35.7109375" style="2" customWidth="1"/>
    <col min="6147" max="6150" width="14.28515625" style="2" customWidth="1"/>
    <col min="6151" max="6151" width="12.7109375" style="2" customWidth="1"/>
    <col min="6152" max="6152" width="13.42578125" style="2" customWidth="1"/>
    <col min="6153" max="6400" width="9.140625" style="2"/>
    <col min="6401" max="6401" width="6.85546875" style="2" customWidth="1"/>
    <col min="6402" max="6402" width="35.7109375" style="2" customWidth="1"/>
    <col min="6403" max="6406" width="14.28515625" style="2" customWidth="1"/>
    <col min="6407" max="6407" width="12.7109375" style="2" customWidth="1"/>
    <col min="6408" max="6408" width="13.42578125" style="2" customWidth="1"/>
    <col min="6409" max="6656" width="9.140625" style="2"/>
    <col min="6657" max="6657" width="6.85546875" style="2" customWidth="1"/>
    <col min="6658" max="6658" width="35.7109375" style="2" customWidth="1"/>
    <col min="6659" max="6662" width="14.28515625" style="2" customWidth="1"/>
    <col min="6663" max="6663" width="12.7109375" style="2" customWidth="1"/>
    <col min="6664" max="6664" width="13.42578125" style="2" customWidth="1"/>
    <col min="6665" max="6912" width="9.140625" style="2"/>
    <col min="6913" max="6913" width="6.85546875" style="2" customWidth="1"/>
    <col min="6914" max="6914" width="35.7109375" style="2" customWidth="1"/>
    <col min="6915" max="6918" width="14.28515625" style="2" customWidth="1"/>
    <col min="6919" max="6919" width="12.7109375" style="2" customWidth="1"/>
    <col min="6920" max="6920" width="13.42578125" style="2" customWidth="1"/>
    <col min="6921" max="7168" width="9.140625" style="2"/>
    <col min="7169" max="7169" width="6.85546875" style="2" customWidth="1"/>
    <col min="7170" max="7170" width="35.7109375" style="2" customWidth="1"/>
    <col min="7171" max="7174" width="14.28515625" style="2" customWidth="1"/>
    <col min="7175" max="7175" width="12.7109375" style="2" customWidth="1"/>
    <col min="7176" max="7176" width="13.42578125" style="2" customWidth="1"/>
    <col min="7177" max="7424" width="9.140625" style="2"/>
    <col min="7425" max="7425" width="6.85546875" style="2" customWidth="1"/>
    <col min="7426" max="7426" width="35.7109375" style="2" customWidth="1"/>
    <col min="7427" max="7430" width="14.28515625" style="2" customWidth="1"/>
    <col min="7431" max="7431" width="12.7109375" style="2" customWidth="1"/>
    <col min="7432" max="7432" width="13.42578125" style="2" customWidth="1"/>
    <col min="7433" max="7680" width="9.140625" style="2"/>
    <col min="7681" max="7681" width="6.85546875" style="2" customWidth="1"/>
    <col min="7682" max="7682" width="35.7109375" style="2" customWidth="1"/>
    <col min="7683" max="7686" width="14.28515625" style="2" customWidth="1"/>
    <col min="7687" max="7687" width="12.7109375" style="2" customWidth="1"/>
    <col min="7688" max="7688" width="13.42578125" style="2" customWidth="1"/>
    <col min="7689" max="7936" width="9.140625" style="2"/>
    <col min="7937" max="7937" width="6.85546875" style="2" customWidth="1"/>
    <col min="7938" max="7938" width="35.7109375" style="2" customWidth="1"/>
    <col min="7939" max="7942" width="14.28515625" style="2" customWidth="1"/>
    <col min="7943" max="7943" width="12.7109375" style="2" customWidth="1"/>
    <col min="7944" max="7944" width="13.42578125" style="2" customWidth="1"/>
    <col min="7945" max="8192" width="9.140625" style="2"/>
    <col min="8193" max="8193" width="6.85546875" style="2" customWidth="1"/>
    <col min="8194" max="8194" width="35.7109375" style="2" customWidth="1"/>
    <col min="8195" max="8198" width="14.28515625" style="2" customWidth="1"/>
    <col min="8199" max="8199" width="12.7109375" style="2" customWidth="1"/>
    <col min="8200" max="8200" width="13.42578125" style="2" customWidth="1"/>
    <col min="8201" max="8448" width="9.140625" style="2"/>
    <col min="8449" max="8449" width="6.85546875" style="2" customWidth="1"/>
    <col min="8450" max="8450" width="35.7109375" style="2" customWidth="1"/>
    <col min="8451" max="8454" width="14.28515625" style="2" customWidth="1"/>
    <col min="8455" max="8455" width="12.7109375" style="2" customWidth="1"/>
    <col min="8456" max="8456" width="13.42578125" style="2" customWidth="1"/>
    <col min="8457" max="8704" width="9.140625" style="2"/>
    <col min="8705" max="8705" width="6.85546875" style="2" customWidth="1"/>
    <col min="8706" max="8706" width="35.7109375" style="2" customWidth="1"/>
    <col min="8707" max="8710" width="14.28515625" style="2" customWidth="1"/>
    <col min="8711" max="8711" width="12.7109375" style="2" customWidth="1"/>
    <col min="8712" max="8712" width="13.42578125" style="2" customWidth="1"/>
    <col min="8713" max="8960" width="9.140625" style="2"/>
    <col min="8961" max="8961" width="6.85546875" style="2" customWidth="1"/>
    <col min="8962" max="8962" width="35.7109375" style="2" customWidth="1"/>
    <col min="8963" max="8966" width="14.28515625" style="2" customWidth="1"/>
    <col min="8967" max="8967" width="12.7109375" style="2" customWidth="1"/>
    <col min="8968" max="8968" width="13.42578125" style="2" customWidth="1"/>
    <col min="8969" max="9216" width="9.140625" style="2"/>
    <col min="9217" max="9217" width="6.85546875" style="2" customWidth="1"/>
    <col min="9218" max="9218" width="35.7109375" style="2" customWidth="1"/>
    <col min="9219" max="9222" width="14.28515625" style="2" customWidth="1"/>
    <col min="9223" max="9223" width="12.7109375" style="2" customWidth="1"/>
    <col min="9224" max="9224" width="13.42578125" style="2" customWidth="1"/>
    <col min="9225" max="9472" width="9.140625" style="2"/>
    <col min="9473" max="9473" width="6.85546875" style="2" customWidth="1"/>
    <col min="9474" max="9474" width="35.7109375" style="2" customWidth="1"/>
    <col min="9475" max="9478" width="14.28515625" style="2" customWidth="1"/>
    <col min="9479" max="9479" width="12.7109375" style="2" customWidth="1"/>
    <col min="9480" max="9480" width="13.42578125" style="2" customWidth="1"/>
    <col min="9481" max="9728" width="9.140625" style="2"/>
    <col min="9729" max="9729" width="6.85546875" style="2" customWidth="1"/>
    <col min="9730" max="9730" width="35.7109375" style="2" customWidth="1"/>
    <col min="9731" max="9734" width="14.28515625" style="2" customWidth="1"/>
    <col min="9735" max="9735" width="12.7109375" style="2" customWidth="1"/>
    <col min="9736" max="9736" width="13.42578125" style="2" customWidth="1"/>
    <col min="9737" max="9984" width="9.140625" style="2"/>
    <col min="9985" max="9985" width="6.85546875" style="2" customWidth="1"/>
    <col min="9986" max="9986" width="35.7109375" style="2" customWidth="1"/>
    <col min="9987" max="9990" width="14.28515625" style="2" customWidth="1"/>
    <col min="9991" max="9991" width="12.7109375" style="2" customWidth="1"/>
    <col min="9992" max="9992" width="13.42578125" style="2" customWidth="1"/>
    <col min="9993" max="10240" width="9.140625" style="2"/>
    <col min="10241" max="10241" width="6.85546875" style="2" customWidth="1"/>
    <col min="10242" max="10242" width="35.7109375" style="2" customWidth="1"/>
    <col min="10243" max="10246" width="14.28515625" style="2" customWidth="1"/>
    <col min="10247" max="10247" width="12.7109375" style="2" customWidth="1"/>
    <col min="10248" max="10248" width="13.42578125" style="2" customWidth="1"/>
    <col min="10249" max="10496" width="9.140625" style="2"/>
    <col min="10497" max="10497" width="6.85546875" style="2" customWidth="1"/>
    <col min="10498" max="10498" width="35.7109375" style="2" customWidth="1"/>
    <col min="10499" max="10502" width="14.28515625" style="2" customWidth="1"/>
    <col min="10503" max="10503" width="12.7109375" style="2" customWidth="1"/>
    <col min="10504" max="10504" width="13.42578125" style="2" customWidth="1"/>
    <col min="10505" max="10752" width="9.140625" style="2"/>
    <col min="10753" max="10753" width="6.85546875" style="2" customWidth="1"/>
    <col min="10754" max="10754" width="35.7109375" style="2" customWidth="1"/>
    <col min="10755" max="10758" width="14.28515625" style="2" customWidth="1"/>
    <col min="10759" max="10759" width="12.7109375" style="2" customWidth="1"/>
    <col min="10760" max="10760" width="13.42578125" style="2" customWidth="1"/>
    <col min="10761" max="11008" width="9.140625" style="2"/>
    <col min="11009" max="11009" width="6.85546875" style="2" customWidth="1"/>
    <col min="11010" max="11010" width="35.7109375" style="2" customWidth="1"/>
    <col min="11011" max="11014" width="14.28515625" style="2" customWidth="1"/>
    <col min="11015" max="11015" width="12.7109375" style="2" customWidth="1"/>
    <col min="11016" max="11016" width="13.42578125" style="2" customWidth="1"/>
    <col min="11017" max="11264" width="9.140625" style="2"/>
    <col min="11265" max="11265" width="6.85546875" style="2" customWidth="1"/>
    <col min="11266" max="11266" width="35.7109375" style="2" customWidth="1"/>
    <col min="11267" max="11270" width="14.28515625" style="2" customWidth="1"/>
    <col min="11271" max="11271" width="12.7109375" style="2" customWidth="1"/>
    <col min="11272" max="11272" width="13.42578125" style="2" customWidth="1"/>
    <col min="11273" max="11520" width="9.140625" style="2"/>
    <col min="11521" max="11521" width="6.85546875" style="2" customWidth="1"/>
    <col min="11522" max="11522" width="35.7109375" style="2" customWidth="1"/>
    <col min="11523" max="11526" width="14.28515625" style="2" customWidth="1"/>
    <col min="11527" max="11527" width="12.7109375" style="2" customWidth="1"/>
    <col min="11528" max="11528" width="13.42578125" style="2" customWidth="1"/>
    <col min="11529" max="11776" width="9.140625" style="2"/>
    <col min="11777" max="11777" width="6.85546875" style="2" customWidth="1"/>
    <col min="11778" max="11778" width="35.7109375" style="2" customWidth="1"/>
    <col min="11779" max="11782" width="14.28515625" style="2" customWidth="1"/>
    <col min="11783" max="11783" width="12.7109375" style="2" customWidth="1"/>
    <col min="11784" max="11784" width="13.42578125" style="2" customWidth="1"/>
    <col min="11785" max="12032" width="9.140625" style="2"/>
    <col min="12033" max="12033" width="6.85546875" style="2" customWidth="1"/>
    <col min="12034" max="12034" width="35.7109375" style="2" customWidth="1"/>
    <col min="12035" max="12038" width="14.28515625" style="2" customWidth="1"/>
    <col min="12039" max="12039" width="12.7109375" style="2" customWidth="1"/>
    <col min="12040" max="12040" width="13.42578125" style="2" customWidth="1"/>
    <col min="12041" max="12288" width="9.140625" style="2"/>
    <col min="12289" max="12289" width="6.85546875" style="2" customWidth="1"/>
    <col min="12290" max="12290" width="35.7109375" style="2" customWidth="1"/>
    <col min="12291" max="12294" width="14.28515625" style="2" customWidth="1"/>
    <col min="12295" max="12295" width="12.7109375" style="2" customWidth="1"/>
    <col min="12296" max="12296" width="13.42578125" style="2" customWidth="1"/>
    <col min="12297" max="12544" width="9.140625" style="2"/>
    <col min="12545" max="12545" width="6.85546875" style="2" customWidth="1"/>
    <col min="12546" max="12546" width="35.7109375" style="2" customWidth="1"/>
    <col min="12547" max="12550" width="14.28515625" style="2" customWidth="1"/>
    <col min="12551" max="12551" width="12.7109375" style="2" customWidth="1"/>
    <col min="12552" max="12552" width="13.42578125" style="2" customWidth="1"/>
    <col min="12553" max="12800" width="9.140625" style="2"/>
    <col min="12801" max="12801" width="6.85546875" style="2" customWidth="1"/>
    <col min="12802" max="12802" width="35.7109375" style="2" customWidth="1"/>
    <col min="12803" max="12806" width="14.28515625" style="2" customWidth="1"/>
    <col min="12807" max="12807" width="12.7109375" style="2" customWidth="1"/>
    <col min="12808" max="12808" width="13.42578125" style="2" customWidth="1"/>
    <col min="12809" max="13056" width="9.140625" style="2"/>
    <col min="13057" max="13057" width="6.85546875" style="2" customWidth="1"/>
    <col min="13058" max="13058" width="35.7109375" style="2" customWidth="1"/>
    <col min="13059" max="13062" width="14.28515625" style="2" customWidth="1"/>
    <col min="13063" max="13063" width="12.7109375" style="2" customWidth="1"/>
    <col min="13064" max="13064" width="13.42578125" style="2" customWidth="1"/>
    <col min="13065" max="13312" width="9.140625" style="2"/>
    <col min="13313" max="13313" width="6.85546875" style="2" customWidth="1"/>
    <col min="13314" max="13314" width="35.7109375" style="2" customWidth="1"/>
    <col min="13315" max="13318" width="14.28515625" style="2" customWidth="1"/>
    <col min="13319" max="13319" width="12.7109375" style="2" customWidth="1"/>
    <col min="13320" max="13320" width="13.42578125" style="2" customWidth="1"/>
    <col min="13321" max="13568" width="9.140625" style="2"/>
    <col min="13569" max="13569" width="6.85546875" style="2" customWidth="1"/>
    <col min="13570" max="13570" width="35.7109375" style="2" customWidth="1"/>
    <col min="13571" max="13574" width="14.28515625" style="2" customWidth="1"/>
    <col min="13575" max="13575" width="12.7109375" style="2" customWidth="1"/>
    <col min="13576" max="13576" width="13.42578125" style="2" customWidth="1"/>
    <col min="13577" max="13824" width="9.140625" style="2"/>
    <col min="13825" max="13825" width="6.85546875" style="2" customWidth="1"/>
    <col min="13826" max="13826" width="35.7109375" style="2" customWidth="1"/>
    <col min="13827" max="13830" width="14.28515625" style="2" customWidth="1"/>
    <col min="13831" max="13831" width="12.7109375" style="2" customWidth="1"/>
    <col min="13832" max="13832" width="13.42578125" style="2" customWidth="1"/>
    <col min="13833" max="14080" width="9.140625" style="2"/>
    <col min="14081" max="14081" width="6.85546875" style="2" customWidth="1"/>
    <col min="14082" max="14082" width="35.7109375" style="2" customWidth="1"/>
    <col min="14083" max="14086" width="14.28515625" style="2" customWidth="1"/>
    <col min="14087" max="14087" width="12.7109375" style="2" customWidth="1"/>
    <col min="14088" max="14088" width="13.42578125" style="2" customWidth="1"/>
    <col min="14089" max="14336" width="9.140625" style="2"/>
    <col min="14337" max="14337" width="6.85546875" style="2" customWidth="1"/>
    <col min="14338" max="14338" width="35.7109375" style="2" customWidth="1"/>
    <col min="14339" max="14342" width="14.28515625" style="2" customWidth="1"/>
    <col min="14343" max="14343" width="12.7109375" style="2" customWidth="1"/>
    <col min="14344" max="14344" width="13.42578125" style="2" customWidth="1"/>
    <col min="14345" max="14592" width="9.140625" style="2"/>
    <col min="14593" max="14593" width="6.85546875" style="2" customWidth="1"/>
    <col min="14594" max="14594" width="35.7109375" style="2" customWidth="1"/>
    <col min="14595" max="14598" width="14.28515625" style="2" customWidth="1"/>
    <col min="14599" max="14599" width="12.7109375" style="2" customWidth="1"/>
    <col min="14600" max="14600" width="13.42578125" style="2" customWidth="1"/>
    <col min="14601" max="14848" width="9.140625" style="2"/>
    <col min="14849" max="14849" width="6.85546875" style="2" customWidth="1"/>
    <col min="14850" max="14850" width="35.7109375" style="2" customWidth="1"/>
    <col min="14851" max="14854" width="14.28515625" style="2" customWidth="1"/>
    <col min="14855" max="14855" width="12.7109375" style="2" customWidth="1"/>
    <col min="14856" max="14856" width="13.42578125" style="2" customWidth="1"/>
    <col min="14857" max="15104" width="9.140625" style="2"/>
    <col min="15105" max="15105" width="6.85546875" style="2" customWidth="1"/>
    <col min="15106" max="15106" width="35.7109375" style="2" customWidth="1"/>
    <col min="15107" max="15110" width="14.28515625" style="2" customWidth="1"/>
    <col min="15111" max="15111" width="12.7109375" style="2" customWidth="1"/>
    <col min="15112" max="15112" width="13.42578125" style="2" customWidth="1"/>
    <col min="15113" max="15360" width="9.140625" style="2"/>
    <col min="15361" max="15361" width="6.85546875" style="2" customWidth="1"/>
    <col min="15362" max="15362" width="35.7109375" style="2" customWidth="1"/>
    <col min="15363" max="15366" width="14.28515625" style="2" customWidth="1"/>
    <col min="15367" max="15367" width="12.7109375" style="2" customWidth="1"/>
    <col min="15368" max="15368" width="13.42578125" style="2" customWidth="1"/>
    <col min="15369" max="15616" width="9.140625" style="2"/>
    <col min="15617" max="15617" width="6.85546875" style="2" customWidth="1"/>
    <col min="15618" max="15618" width="35.7109375" style="2" customWidth="1"/>
    <col min="15619" max="15622" width="14.28515625" style="2" customWidth="1"/>
    <col min="15623" max="15623" width="12.7109375" style="2" customWidth="1"/>
    <col min="15624" max="15624" width="13.42578125" style="2" customWidth="1"/>
    <col min="15625" max="15872" width="9.140625" style="2"/>
    <col min="15873" max="15873" width="6.85546875" style="2" customWidth="1"/>
    <col min="15874" max="15874" width="35.7109375" style="2" customWidth="1"/>
    <col min="15875" max="15878" width="14.28515625" style="2" customWidth="1"/>
    <col min="15879" max="15879" width="12.7109375" style="2" customWidth="1"/>
    <col min="15880" max="15880" width="13.42578125" style="2" customWidth="1"/>
    <col min="15881" max="16128" width="9.140625" style="2"/>
    <col min="16129" max="16129" width="6.85546875" style="2" customWidth="1"/>
    <col min="16130" max="16130" width="35.7109375" style="2" customWidth="1"/>
    <col min="16131" max="16134" width="14.28515625" style="2" customWidth="1"/>
    <col min="16135" max="16135" width="12.7109375" style="2" customWidth="1"/>
    <col min="16136" max="16136" width="13.42578125" style="2" customWidth="1"/>
    <col min="16137" max="16384" width="9.140625" style="2"/>
  </cols>
  <sheetData>
    <row r="1" spans="1:11" ht="7.9" customHeight="1" x14ac:dyDescent="0.25"/>
    <row r="2" spans="1:11" x14ac:dyDescent="0.25">
      <c r="A2" s="22" t="s">
        <v>181</v>
      </c>
      <c r="B2" s="23"/>
      <c r="C2" s="23"/>
    </row>
    <row r="3" spans="1:11" x14ac:dyDescent="0.25">
      <c r="A3" s="22" t="s">
        <v>182</v>
      </c>
      <c r="B3" s="23"/>
      <c r="F3" s="3"/>
      <c r="G3" s="3"/>
      <c r="H3" s="4"/>
    </row>
    <row r="4" spans="1:11" ht="14.1" customHeight="1" x14ac:dyDescent="0.25">
      <c r="A4" s="22" t="s">
        <v>183</v>
      </c>
      <c r="B4" s="23"/>
    </row>
    <row r="5" spans="1:11" ht="14.1" customHeight="1" x14ac:dyDescent="0.25">
      <c r="A5" s="5"/>
    </row>
    <row r="6" spans="1:11" ht="17.25" customHeight="1" x14ac:dyDescent="0.25">
      <c r="B6" s="24" t="s">
        <v>0</v>
      </c>
      <c r="C6" s="24"/>
      <c r="D6" s="24"/>
      <c r="E6" s="24"/>
      <c r="F6" s="24"/>
      <c r="G6" s="6"/>
    </row>
    <row r="7" spans="1:11" ht="18" customHeight="1" x14ac:dyDescent="0.25">
      <c r="B7" s="24" t="s">
        <v>1</v>
      </c>
      <c r="C7" s="24"/>
      <c r="D7" s="24"/>
      <c r="E7" s="24"/>
      <c r="F7" s="24"/>
      <c r="G7" s="6"/>
    </row>
    <row r="8" spans="1:11" ht="5.0999999999999996" customHeight="1" x14ac:dyDescent="0.25"/>
    <row r="9" spans="1:11" ht="46.5" customHeight="1" thickBot="1" x14ac:dyDescent="0.3">
      <c r="A9" s="26" t="s">
        <v>2</v>
      </c>
      <c r="B9" s="26"/>
      <c r="C9" s="25" t="s">
        <v>3</v>
      </c>
      <c r="D9" s="25" t="s">
        <v>4</v>
      </c>
      <c r="E9" s="25" t="s">
        <v>5</v>
      </c>
      <c r="F9" s="25" t="s">
        <v>6</v>
      </c>
      <c r="G9" s="25" t="s">
        <v>7</v>
      </c>
      <c r="H9" s="25" t="s">
        <v>8</v>
      </c>
    </row>
    <row r="10" spans="1:11" ht="16.5" thickTop="1" thickBot="1" x14ac:dyDescent="0.3">
      <c r="A10" s="7" t="s">
        <v>9</v>
      </c>
      <c r="B10" s="8" t="s">
        <v>10</v>
      </c>
      <c r="C10" s="7" t="s">
        <v>11</v>
      </c>
      <c r="D10" s="7" t="s">
        <v>12</v>
      </c>
      <c r="E10" s="7" t="s">
        <v>13</v>
      </c>
      <c r="F10" s="7" t="s">
        <v>14</v>
      </c>
      <c r="G10" s="9" t="s">
        <v>15</v>
      </c>
      <c r="H10" s="9" t="s">
        <v>16</v>
      </c>
    </row>
    <row r="11" spans="1:11" ht="15.75" thickTop="1" x14ac:dyDescent="0.25">
      <c r="A11" s="18"/>
      <c r="B11" s="19" t="s">
        <v>17</v>
      </c>
      <c r="C11" s="20">
        <f>C12</f>
        <v>983232.60070343083</v>
      </c>
      <c r="D11" s="20">
        <f>D12</f>
        <v>1095500</v>
      </c>
      <c r="E11" s="20">
        <f>E12</f>
        <v>1142300</v>
      </c>
      <c r="F11" s="20">
        <f>F12</f>
        <v>1088191.67</v>
      </c>
      <c r="G11" s="21">
        <f>ROUND((F11/C11*100),2)</f>
        <v>110.67</v>
      </c>
      <c r="H11" s="21">
        <f>ROUND((F11/E11*100),2)</f>
        <v>95.26</v>
      </c>
      <c r="K11" s="27"/>
    </row>
    <row r="12" spans="1:11" x14ac:dyDescent="0.25">
      <c r="A12" s="10" t="s">
        <v>18</v>
      </c>
      <c r="B12" s="12" t="s">
        <v>19</v>
      </c>
      <c r="C12" s="11">
        <f>C13+C21+C27+C31</f>
        <v>983232.60070343083</v>
      </c>
      <c r="D12" s="11">
        <f>D13+D21+D27+D31</f>
        <v>1095500</v>
      </c>
      <c r="E12" s="11">
        <f>E13+E21+E27+E31</f>
        <v>1142300</v>
      </c>
      <c r="F12" s="11">
        <f>F13+F21+F27+F31</f>
        <v>1088191.67</v>
      </c>
      <c r="G12" s="11">
        <f t="shared" ref="G12:G34" si="0">ROUND((F12/C12*100),2)</f>
        <v>110.67</v>
      </c>
      <c r="H12" s="11">
        <f t="shared" ref="H12:H34" si="1">ROUND((F12/E12*100),2)</f>
        <v>95.26</v>
      </c>
    </row>
    <row r="13" spans="1:11" ht="22.5" x14ac:dyDescent="0.25">
      <c r="A13" s="10" t="s">
        <v>20</v>
      </c>
      <c r="B13" s="13" t="s">
        <v>21</v>
      </c>
      <c r="C13" s="11">
        <f>C14+C17+C19</f>
        <v>35535.951954343356</v>
      </c>
      <c r="D13" s="11">
        <f>D14+D17</f>
        <v>7300</v>
      </c>
      <c r="E13" s="11">
        <f>E14+E17</f>
        <v>4100</v>
      </c>
      <c r="F13" s="11">
        <f>F14+F17</f>
        <v>2123.56</v>
      </c>
      <c r="G13" s="11">
        <f t="shared" si="0"/>
        <v>5.98</v>
      </c>
      <c r="H13" s="11">
        <f t="shared" si="1"/>
        <v>51.79</v>
      </c>
    </row>
    <row r="14" spans="1:11" ht="22.5" x14ac:dyDescent="0.25">
      <c r="A14" s="10" t="s">
        <v>22</v>
      </c>
      <c r="B14" s="13" t="s">
        <v>23</v>
      </c>
      <c r="C14" s="11">
        <f>SUM(C15:C16)</f>
        <v>0</v>
      </c>
      <c r="D14" s="11">
        <f>SUM(D15:D16)</f>
        <v>0</v>
      </c>
      <c r="E14" s="11">
        <f>SUM(E15:E16)</f>
        <v>0</v>
      </c>
      <c r="F14" s="11">
        <f>SUM(F15:F16)</f>
        <v>0</v>
      </c>
      <c r="G14" s="11">
        <v>0</v>
      </c>
      <c r="H14" s="11">
        <v>0</v>
      </c>
    </row>
    <row r="15" spans="1:11" x14ac:dyDescent="0.25">
      <c r="A15" s="10" t="s">
        <v>24</v>
      </c>
      <c r="B15" s="13" t="s">
        <v>25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</row>
    <row r="16" spans="1:11" x14ac:dyDescent="0.25">
      <c r="A16" s="10" t="s">
        <v>26</v>
      </c>
      <c r="B16" s="13" t="s">
        <v>27</v>
      </c>
      <c r="C16" s="11"/>
      <c r="D16" s="14"/>
      <c r="E16" s="14"/>
      <c r="F16" s="14"/>
      <c r="G16" s="11">
        <v>0</v>
      </c>
      <c r="H16" s="11">
        <v>0</v>
      </c>
    </row>
    <row r="17" spans="1:8" ht="22.5" x14ac:dyDescent="0.25">
      <c r="A17" s="10" t="s">
        <v>28</v>
      </c>
      <c r="B17" s="13" t="s">
        <v>29</v>
      </c>
      <c r="C17" s="11">
        <f>C18</f>
        <v>4315.6148384099806</v>
      </c>
      <c r="D17" s="11">
        <f>D18</f>
        <v>7300</v>
      </c>
      <c r="E17" s="11">
        <f>E18</f>
        <v>4100</v>
      </c>
      <c r="F17" s="11">
        <f>F18</f>
        <v>2123.56</v>
      </c>
      <c r="G17" s="11">
        <f t="shared" si="0"/>
        <v>49.21</v>
      </c>
      <c r="H17" s="11">
        <f t="shared" si="1"/>
        <v>51.79</v>
      </c>
    </row>
    <row r="18" spans="1:8" ht="22.5" x14ac:dyDescent="0.25">
      <c r="A18" s="10" t="s">
        <v>30</v>
      </c>
      <c r="B18" s="13" t="s">
        <v>31</v>
      </c>
      <c r="C18" s="11">
        <f>32516/7.5345</f>
        <v>4315.6148384099806</v>
      </c>
      <c r="D18" s="14">
        <v>7300</v>
      </c>
      <c r="E18" s="14">
        <v>4100</v>
      </c>
      <c r="F18" s="14">
        <v>2123.56</v>
      </c>
      <c r="G18" s="11">
        <f t="shared" si="0"/>
        <v>49.21</v>
      </c>
      <c r="H18" s="11">
        <f t="shared" si="1"/>
        <v>51.79</v>
      </c>
    </row>
    <row r="19" spans="1:8" ht="22.5" x14ac:dyDescent="0.25">
      <c r="A19" s="10" t="s">
        <v>28</v>
      </c>
      <c r="B19" s="13" t="s">
        <v>29</v>
      </c>
      <c r="C19" s="11">
        <f>C20</f>
        <v>31220.337115933373</v>
      </c>
      <c r="D19" s="11">
        <f t="shared" ref="D19:F19" si="2">D20</f>
        <v>0</v>
      </c>
      <c r="E19" s="11">
        <f t="shared" si="2"/>
        <v>0</v>
      </c>
      <c r="F19" s="11">
        <f t="shared" si="2"/>
        <v>0</v>
      </c>
      <c r="G19" s="11">
        <f t="shared" ref="G19:G20" si="3">ROUND((F19/C19*100),2)</f>
        <v>0</v>
      </c>
      <c r="H19" s="11">
        <v>0</v>
      </c>
    </row>
    <row r="20" spans="1:8" ht="22.5" x14ac:dyDescent="0.25">
      <c r="A20" s="10">
        <v>63811</v>
      </c>
      <c r="B20" s="15" t="s">
        <v>184</v>
      </c>
      <c r="C20" s="11">
        <f>235229.63/7.5345</f>
        <v>31220.337115933373</v>
      </c>
      <c r="D20" s="14">
        <v>0</v>
      </c>
      <c r="E20" s="14"/>
      <c r="F20" s="14"/>
      <c r="G20" s="11">
        <f t="shared" si="3"/>
        <v>0</v>
      </c>
      <c r="H20" s="11">
        <v>0</v>
      </c>
    </row>
    <row r="21" spans="1:8" x14ac:dyDescent="0.25">
      <c r="A21" s="10" t="s">
        <v>32</v>
      </c>
      <c r="B21" s="13" t="s">
        <v>33</v>
      </c>
      <c r="C21" s="11">
        <f>C22+C25</f>
        <v>4.7448404008228815</v>
      </c>
      <c r="D21" s="11">
        <f>D22+D25</f>
        <v>100</v>
      </c>
      <c r="E21" s="11">
        <f>E22+E25</f>
        <v>100</v>
      </c>
      <c r="F21" s="11">
        <f>F22+F25</f>
        <v>235.91</v>
      </c>
      <c r="G21" s="11">
        <f t="shared" si="0"/>
        <v>4971.93</v>
      </c>
      <c r="H21" s="11">
        <f t="shared" si="1"/>
        <v>235.91</v>
      </c>
    </row>
    <row r="22" spans="1:8" x14ac:dyDescent="0.25">
      <c r="A22" s="10" t="s">
        <v>34</v>
      </c>
      <c r="B22" s="13" t="s">
        <v>35</v>
      </c>
      <c r="C22" s="11">
        <f>SUM(C23:C24)</f>
        <v>4.7448404008228815</v>
      </c>
      <c r="D22" s="11">
        <f>SUM(D23:D24)</f>
        <v>100</v>
      </c>
      <c r="E22" s="11">
        <f>SUM(E23:E24)</f>
        <v>100</v>
      </c>
      <c r="F22" s="11">
        <f>SUM(F23:F24)</f>
        <v>235.91</v>
      </c>
      <c r="G22" s="11">
        <f t="shared" si="0"/>
        <v>4971.93</v>
      </c>
      <c r="H22" s="11">
        <f t="shared" si="1"/>
        <v>235.91</v>
      </c>
    </row>
    <row r="23" spans="1:8" ht="22.5" x14ac:dyDescent="0.25">
      <c r="A23" s="10" t="s">
        <v>36</v>
      </c>
      <c r="B23" s="13" t="s">
        <v>37</v>
      </c>
      <c r="C23" s="11">
        <f>26.94/7.5345</f>
        <v>3.575552458690026</v>
      </c>
      <c r="D23" s="14">
        <v>100</v>
      </c>
      <c r="E23" s="14">
        <v>100</v>
      </c>
      <c r="F23" s="14">
        <v>235.91</v>
      </c>
      <c r="G23" s="11">
        <f t="shared" si="0"/>
        <v>6597.86</v>
      </c>
      <c r="H23" s="11">
        <f t="shared" si="1"/>
        <v>235.91</v>
      </c>
    </row>
    <row r="24" spans="1:8" ht="22.5" x14ac:dyDescent="0.25">
      <c r="A24" s="10" t="s">
        <v>38</v>
      </c>
      <c r="B24" s="13" t="s">
        <v>39</v>
      </c>
      <c r="C24" s="11">
        <f>8.81/7.5345</f>
        <v>1.1692879421328555</v>
      </c>
      <c r="D24" s="14">
        <v>0</v>
      </c>
      <c r="E24" s="14"/>
      <c r="F24" s="14"/>
      <c r="G24" s="11">
        <f t="shared" si="0"/>
        <v>0</v>
      </c>
      <c r="H24" s="11">
        <v>0</v>
      </c>
    </row>
    <row r="25" spans="1:8" x14ac:dyDescent="0.25">
      <c r="A25" s="10" t="s">
        <v>40</v>
      </c>
      <c r="B25" s="13" t="s">
        <v>41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</row>
    <row r="26" spans="1:8" ht="22.5" x14ac:dyDescent="0.25">
      <c r="A26" s="10" t="s">
        <v>42</v>
      </c>
      <c r="B26" s="13" t="s">
        <v>43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</row>
    <row r="27" spans="1:8" ht="22.5" x14ac:dyDescent="0.25">
      <c r="A27" s="10" t="s">
        <v>44</v>
      </c>
      <c r="B27" s="13" t="s">
        <v>45</v>
      </c>
      <c r="C27" s="11">
        <f>C28</f>
        <v>167759.43990974847</v>
      </c>
      <c r="D27" s="11">
        <f>D28+D30</f>
        <v>273400</v>
      </c>
      <c r="E27" s="11">
        <f>E28+E30</f>
        <v>323400</v>
      </c>
      <c r="F27" s="11">
        <f t="shared" ref="D27:F28" si="4">F28</f>
        <v>218320.68</v>
      </c>
      <c r="G27" s="11">
        <f t="shared" si="0"/>
        <v>130.13999999999999</v>
      </c>
      <c r="H27" s="11">
        <f t="shared" si="1"/>
        <v>67.510000000000005</v>
      </c>
    </row>
    <row r="28" spans="1:8" x14ac:dyDescent="0.25">
      <c r="A28" s="10" t="s">
        <v>46</v>
      </c>
      <c r="B28" s="13" t="s">
        <v>47</v>
      </c>
      <c r="C28" s="11">
        <f>C29</f>
        <v>167759.43990974847</v>
      </c>
      <c r="D28" s="11">
        <f t="shared" si="4"/>
        <v>128400</v>
      </c>
      <c r="E28" s="11">
        <f t="shared" si="4"/>
        <v>143500</v>
      </c>
      <c r="F28" s="11">
        <f t="shared" si="4"/>
        <v>218320.68</v>
      </c>
      <c r="G28" s="11">
        <f t="shared" si="0"/>
        <v>130.13999999999999</v>
      </c>
      <c r="H28" s="11">
        <f t="shared" si="1"/>
        <v>152.13999999999999</v>
      </c>
    </row>
    <row r="29" spans="1:8" x14ac:dyDescent="0.25">
      <c r="A29" s="10" t="s">
        <v>48</v>
      </c>
      <c r="B29" s="13" t="s">
        <v>49</v>
      </c>
      <c r="C29" s="11">
        <f>1263983.5/7.5345</f>
        <v>167759.43990974847</v>
      </c>
      <c r="D29" s="14">
        <f>128400</f>
        <v>128400</v>
      </c>
      <c r="E29" s="14">
        <v>143500</v>
      </c>
      <c r="F29" s="14">
        <v>218320.68</v>
      </c>
      <c r="G29" s="11">
        <f t="shared" si="0"/>
        <v>130.13999999999999</v>
      </c>
      <c r="H29" s="11">
        <f t="shared" si="1"/>
        <v>152.13999999999999</v>
      </c>
    </row>
    <row r="30" spans="1:8" x14ac:dyDescent="0.25">
      <c r="A30" s="10">
        <v>9221</v>
      </c>
      <c r="B30" s="15" t="s">
        <v>185</v>
      </c>
      <c r="C30" s="11"/>
      <c r="D30" s="14">
        <v>145000</v>
      </c>
      <c r="E30" s="14">
        <f>1142300-962400</f>
        <v>179900</v>
      </c>
      <c r="F30" s="14"/>
      <c r="G30" s="11"/>
      <c r="H30" s="11"/>
    </row>
    <row r="31" spans="1:8" x14ac:dyDescent="0.25">
      <c r="A31" s="10">
        <v>67</v>
      </c>
      <c r="B31" s="15" t="s">
        <v>50</v>
      </c>
      <c r="C31" s="11">
        <f>C32</f>
        <v>779932.46399893821</v>
      </c>
      <c r="D31" s="11">
        <f>D32</f>
        <v>814700</v>
      </c>
      <c r="E31" s="11">
        <f>E32</f>
        <v>814700</v>
      </c>
      <c r="F31" s="11">
        <f>F32</f>
        <v>867511.52</v>
      </c>
      <c r="G31" s="11">
        <f t="shared" si="0"/>
        <v>111.23</v>
      </c>
      <c r="H31" s="11">
        <f t="shared" si="1"/>
        <v>106.48</v>
      </c>
    </row>
    <row r="32" spans="1:8" ht="22.5" x14ac:dyDescent="0.25">
      <c r="A32" s="10">
        <v>671</v>
      </c>
      <c r="B32" s="15" t="s">
        <v>51</v>
      </c>
      <c r="C32" s="11">
        <f>SUM(C33:C34)</f>
        <v>779932.46399893821</v>
      </c>
      <c r="D32" s="11">
        <f t="shared" ref="D32:F32" si="5">SUM(D33:D34)</f>
        <v>814700</v>
      </c>
      <c r="E32" s="11">
        <f t="shared" si="5"/>
        <v>814700</v>
      </c>
      <c r="F32" s="11">
        <f t="shared" si="5"/>
        <v>867511.52</v>
      </c>
      <c r="G32" s="11">
        <f t="shared" si="0"/>
        <v>111.23</v>
      </c>
      <c r="H32" s="11">
        <f t="shared" si="1"/>
        <v>106.48</v>
      </c>
    </row>
    <row r="33" spans="1:8" ht="22.5" x14ac:dyDescent="0.25">
      <c r="A33" s="10">
        <v>6711</v>
      </c>
      <c r="B33" s="15" t="s">
        <v>52</v>
      </c>
      <c r="C33" s="11">
        <f>5876401.15/7.5345</f>
        <v>779932.46399893821</v>
      </c>
      <c r="D33" s="14">
        <v>814700</v>
      </c>
      <c r="E33" s="14">
        <v>814700</v>
      </c>
      <c r="F33" s="14">
        <v>867511.52</v>
      </c>
      <c r="G33" s="11">
        <f t="shared" si="0"/>
        <v>111.23</v>
      </c>
      <c r="H33" s="11">
        <f t="shared" si="1"/>
        <v>106.48</v>
      </c>
    </row>
    <row r="34" spans="1:8" ht="22.5" x14ac:dyDescent="0.25">
      <c r="A34" s="10">
        <v>6712</v>
      </c>
      <c r="B34" s="15" t="s">
        <v>53</v>
      </c>
      <c r="C34" s="11"/>
      <c r="D34" s="14"/>
      <c r="E34" s="14"/>
      <c r="F34" s="14"/>
      <c r="G34" s="11">
        <v>0</v>
      </c>
      <c r="H34" s="11">
        <v>0</v>
      </c>
    </row>
    <row r="35" spans="1:8" x14ac:dyDescent="0.25">
      <c r="A35" s="10"/>
      <c r="B35" s="15"/>
      <c r="C35" s="11"/>
      <c r="D35" s="14"/>
      <c r="E35" s="14"/>
      <c r="F35" s="14"/>
      <c r="G35" s="11"/>
      <c r="H35" s="11"/>
    </row>
    <row r="36" spans="1:8" ht="35.25" customHeight="1" thickBot="1" x14ac:dyDescent="0.3">
      <c r="A36" s="26" t="s">
        <v>54</v>
      </c>
      <c r="B36" s="26"/>
      <c r="C36" s="16" t="s">
        <v>3</v>
      </c>
      <c r="D36" s="16" t="s">
        <v>4</v>
      </c>
      <c r="E36" s="16" t="s">
        <v>5</v>
      </c>
      <c r="F36" s="16" t="s">
        <v>6</v>
      </c>
      <c r="G36" s="16" t="s">
        <v>7</v>
      </c>
      <c r="H36" s="17" t="s">
        <v>8</v>
      </c>
    </row>
    <row r="37" spans="1:8" ht="16.5" thickTop="1" thickBot="1" x14ac:dyDescent="0.3">
      <c r="A37" s="7" t="s">
        <v>9</v>
      </c>
      <c r="B37" s="8" t="s">
        <v>10</v>
      </c>
      <c r="C37" s="7" t="s">
        <v>11</v>
      </c>
      <c r="D37" s="7" t="s">
        <v>12</v>
      </c>
      <c r="E37" s="7" t="s">
        <v>13</v>
      </c>
      <c r="F37" s="7" t="s">
        <v>14</v>
      </c>
      <c r="G37" s="9" t="s">
        <v>15</v>
      </c>
      <c r="H37" s="9" t="s">
        <v>16</v>
      </c>
    </row>
    <row r="38" spans="1:8" ht="15.75" thickTop="1" x14ac:dyDescent="0.25">
      <c r="A38" s="18"/>
      <c r="B38" s="19" t="s">
        <v>55</v>
      </c>
      <c r="C38" s="20">
        <f>C39+C92+3931.912</f>
        <v>894407.06496303668</v>
      </c>
      <c r="D38" s="20">
        <f>D39+D92</f>
        <v>1095500</v>
      </c>
      <c r="E38" s="20">
        <f>E39+E92</f>
        <v>1142300</v>
      </c>
      <c r="F38" s="20">
        <f>F39+F92</f>
        <v>1065802.57</v>
      </c>
      <c r="G38" s="21">
        <f>ROUND((F38/C38*100),2)</f>
        <v>119.16</v>
      </c>
      <c r="H38" s="21">
        <f>ROUND((F38/E38*100),2)</f>
        <v>93.3</v>
      </c>
    </row>
    <row r="39" spans="1:8" x14ac:dyDescent="0.25">
      <c r="A39" s="10" t="s">
        <v>56</v>
      </c>
      <c r="B39" s="13" t="s">
        <v>57</v>
      </c>
      <c r="C39" s="11">
        <f>C40+C48+C81+C86+C89</f>
        <v>878781.33917313686</v>
      </c>
      <c r="D39" s="11">
        <f>D40+D48+D81+D86+D89</f>
        <v>946200</v>
      </c>
      <c r="E39" s="11">
        <f>E40+E48+E81+E86+E89</f>
        <v>994300</v>
      </c>
      <c r="F39" s="11">
        <f>F40+F48+F81+F86+F89</f>
        <v>1058752.25</v>
      </c>
      <c r="G39" s="11">
        <f t="shared" ref="G39:G99" si="6">ROUND((F39/C39*100),2)</f>
        <v>120.48</v>
      </c>
      <c r="H39" s="11">
        <f t="shared" ref="H39:H99" si="7">ROUND((F39/E39*100),2)</f>
        <v>106.48</v>
      </c>
    </row>
    <row r="40" spans="1:8" x14ac:dyDescent="0.25">
      <c r="A40" s="10" t="s">
        <v>58</v>
      </c>
      <c r="B40" s="13" t="s">
        <v>59</v>
      </c>
      <c r="C40" s="11">
        <f>C41+C44+C46</f>
        <v>632834.06463600765</v>
      </c>
      <c r="D40" s="11">
        <f>D41+D44+D46</f>
        <v>672300</v>
      </c>
      <c r="E40" s="11">
        <f>E41+E44+E46</f>
        <v>727700</v>
      </c>
      <c r="F40" s="11">
        <f>F41+F44+F46</f>
        <v>736343.41</v>
      </c>
      <c r="G40" s="11">
        <f t="shared" si="6"/>
        <v>116.36</v>
      </c>
      <c r="H40" s="11">
        <f t="shared" si="7"/>
        <v>101.19</v>
      </c>
    </row>
    <row r="41" spans="1:8" x14ac:dyDescent="0.25">
      <c r="A41" s="10" t="s">
        <v>60</v>
      </c>
      <c r="B41" s="13" t="s">
        <v>61</v>
      </c>
      <c r="C41" s="11">
        <f>SUM(C42:C43)</f>
        <v>520998.30114805227</v>
      </c>
      <c r="D41" s="11">
        <f>SUM(D42:D43)</f>
        <v>545600</v>
      </c>
      <c r="E41" s="11">
        <f>SUM(E42:E43)</f>
        <v>565500</v>
      </c>
      <c r="F41" s="11">
        <f>SUM(F42:F43)</f>
        <v>571662.66</v>
      </c>
      <c r="G41" s="11">
        <f t="shared" si="6"/>
        <v>109.72</v>
      </c>
      <c r="H41" s="11">
        <f t="shared" si="7"/>
        <v>101.09</v>
      </c>
    </row>
    <row r="42" spans="1:8" x14ac:dyDescent="0.25">
      <c r="A42" s="10" t="s">
        <v>62</v>
      </c>
      <c r="B42" s="13" t="s">
        <v>63</v>
      </c>
      <c r="C42" s="11">
        <f>(3140374.54/7.5345)+(785087.16/7.5345)</f>
        <v>520998.30114805227</v>
      </c>
      <c r="D42" s="14">
        <v>545600</v>
      </c>
      <c r="E42" s="14">
        <v>565500</v>
      </c>
      <c r="F42" s="14">
        <f>519057+52605.66</f>
        <v>571662.66</v>
      </c>
      <c r="G42" s="11">
        <f t="shared" si="6"/>
        <v>109.72</v>
      </c>
      <c r="H42" s="11">
        <f t="shared" si="7"/>
        <v>101.09</v>
      </c>
    </row>
    <row r="43" spans="1:8" x14ac:dyDescent="0.25">
      <c r="A43" s="10" t="s">
        <v>64</v>
      </c>
      <c r="B43" s="13" t="s">
        <v>65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</row>
    <row r="44" spans="1:8" x14ac:dyDescent="0.25">
      <c r="A44" s="10" t="s">
        <v>66</v>
      </c>
      <c r="B44" s="13" t="s">
        <v>67</v>
      </c>
      <c r="C44" s="11">
        <f>C45</f>
        <v>25871.042537660094</v>
      </c>
      <c r="D44" s="11">
        <f>D45</f>
        <v>36700</v>
      </c>
      <c r="E44" s="11">
        <f>E45</f>
        <v>68900</v>
      </c>
      <c r="F44" s="11">
        <f>F45</f>
        <v>70356.27</v>
      </c>
      <c r="G44" s="11">
        <f t="shared" si="6"/>
        <v>271.95</v>
      </c>
      <c r="H44" s="11">
        <f t="shared" si="7"/>
        <v>102.11</v>
      </c>
    </row>
    <row r="45" spans="1:8" x14ac:dyDescent="0.25">
      <c r="A45" s="10" t="s">
        <v>68</v>
      </c>
      <c r="B45" s="13" t="s">
        <v>67</v>
      </c>
      <c r="C45" s="11">
        <f>194925.37/7.5345</f>
        <v>25871.042537660094</v>
      </c>
      <c r="D45" s="14">
        <f>24700+12000</f>
        <v>36700</v>
      </c>
      <c r="E45" s="14">
        <f>42000+26900</f>
        <v>68900</v>
      </c>
      <c r="F45" s="14">
        <v>70356.27</v>
      </c>
      <c r="G45" s="11">
        <f t="shared" si="6"/>
        <v>271.95</v>
      </c>
      <c r="H45" s="11">
        <f t="shared" si="7"/>
        <v>102.11</v>
      </c>
    </row>
    <row r="46" spans="1:8" x14ac:dyDescent="0.25">
      <c r="A46" s="10" t="s">
        <v>69</v>
      </c>
      <c r="B46" s="13" t="s">
        <v>70</v>
      </c>
      <c r="C46" s="11">
        <f>C47</f>
        <v>85964.72095029529</v>
      </c>
      <c r="D46" s="11">
        <f>D47</f>
        <v>90000</v>
      </c>
      <c r="E46" s="11">
        <f>E47</f>
        <v>93300</v>
      </c>
      <c r="F46" s="11">
        <f>F47</f>
        <v>94324.479999999996</v>
      </c>
      <c r="G46" s="11">
        <f t="shared" si="6"/>
        <v>109.72</v>
      </c>
      <c r="H46" s="11">
        <f t="shared" si="7"/>
        <v>101.1</v>
      </c>
    </row>
    <row r="47" spans="1:8" x14ac:dyDescent="0.25">
      <c r="A47" s="10" t="s">
        <v>71</v>
      </c>
      <c r="B47" s="13" t="s">
        <v>72</v>
      </c>
      <c r="C47" s="11">
        <f>647701.19/7.5345</f>
        <v>85964.72095029529</v>
      </c>
      <c r="D47" s="14">
        <v>90000</v>
      </c>
      <c r="E47" s="14">
        <v>93300</v>
      </c>
      <c r="F47" s="14">
        <v>94324.479999999996</v>
      </c>
      <c r="G47" s="11">
        <f t="shared" si="6"/>
        <v>109.72</v>
      </c>
      <c r="H47" s="11">
        <f t="shared" si="7"/>
        <v>101.1</v>
      </c>
    </row>
    <row r="48" spans="1:8" x14ac:dyDescent="0.25">
      <c r="A48" s="10" t="s">
        <v>73</v>
      </c>
      <c r="B48" s="13" t="s">
        <v>74</v>
      </c>
      <c r="C48" s="11">
        <f>C49+C54+C61+C71+C73</f>
        <v>242376.93941203793</v>
      </c>
      <c r="D48" s="11">
        <f>D49+D54+D61+D71+D73</f>
        <v>270400</v>
      </c>
      <c r="E48" s="11">
        <f>E49+E54+E61+E71+E73</f>
        <v>263100</v>
      </c>
      <c r="F48" s="11">
        <f>F49+F54+F61+F71+F73</f>
        <v>318763.28999999998</v>
      </c>
      <c r="G48" s="11">
        <f t="shared" si="6"/>
        <v>131.52000000000001</v>
      </c>
      <c r="H48" s="11">
        <f t="shared" si="7"/>
        <v>121.16</v>
      </c>
    </row>
    <row r="49" spans="1:8" x14ac:dyDescent="0.25">
      <c r="A49" s="10" t="s">
        <v>75</v>
      </c>
      <c r="B49" s="13" t="s">
        <v>76</v>
      </c>
      <c r="C49" s="11">
        <f>C50+C51+C52+C53</f>
        <v>23128.376136439045</v>
      </c>
      <c r="D49" s="11">
        <f>D50+D51+D52+D53</f>
        <v>31500</v>
      </c>
      <c r="E49" s="11">
        <f>E50+E51+E52+E53</f>
        <v>29800</v>
      </c>
      <c r="F49" s="11">
        <f>F50+F51+F52+F53</f>
        <v>26236.68</v>
      </c>
      <c r="G49" s="11">
        <f t="shared" si="6"/>
        <v>113.44</v>
      </c>
      <c r="H49" s="11">
        <f t="shared" si="7"/>
        <v>88.04</v>
      </c>
    </row>
    <row r="50" spans="1:8" x14ac:dyDescent="0.25">
      <c r="A50" s="10" t="s">
        <v>77</v>
      </c>
      <c r="B50" s="13" t="s">
        <v>78</v>
      </c>
      <c r="C50" s="11">
        <f>73950.51/7.5345</f>
        <v>9814.9193708938874</v>
      </c>
      <c r="D50" s="14">
        <f>9000+5800+2600</f>
        <v>17400</v>
      </c>
      <c r="E50" s="14">
        <f>4100+4100+4300</f>
        <v>12500</v>
      </c>
      <c r="F50" s="14">
        <v>12242.15</v>
      </c>
      <c r="G50" s="11">
        <f t="shared" si="6"/>
        <v>124.73</v>
      </c>
      <c r="H50" s="11">
        <f t="shared" si="7"/>
        <v>97.94</v>
      </c>
    </row>
    <row r="51" spans="1:8" ht="22.5" x14ac:dyDescent="0.25">
      <c r="A51" s="10" t="s">
        <v>79</v>
      </c>
      <c r="B51" s="13" t="s">
        <v>80</v>
      </c>
      <c r="C51" s="11">
        <f>97786/7.5345</f>
        <v>12978.432543632622</v>
      </c>
      <c r="D51" s="14">
        <v>13300</v>
      </c>
      <c r="E51" s="14">
        <v>12300</v>
      </c>
      <c r="F51" s="14">
        <v>13034.53</v>
      </c>
      <c r="G51" s="11">
        <f t="shared" si="6"/>
        <v>100.43</v>
      </c>
      <c r="H51" s="11">
        <f t="shared" si="7"/>
        <v>105.97</v>
      </c>
    </row>
    <row r="52" spans="1:8" x14ac:dyDescent="0.25">
      <c r="A52" s="10" t="s">
        <v>81</v>
      </c>
      <c r="B52" s="13" t="s">
        <v>82</v>
      </c>
      <c r="C52" s="11">
        <f>1800/7.5345</f>
        <v>238.90105514632688</v>
      </c>
      <c r="D52" s="14">
        <f>400+100</f>
        <v>500</v>
      </c>
      <c r="E52" s="14">
        <f>400+4300</f>
        <v>4700</v>
      </c>
      <c r="F52" s="14">
        <v>960</v>
      </c>
      <c r="G52" s="11">
        <f t="shared" si="6"/>
        <v>401.84</v>
      </c>
      <c r="H52" s="11">
        <f t="shared" si="7"/>
        <v>20.43</v>
      </c>
    </row>
    <row r="53" spans="1:8" x14ac:dyDescent="0.25">
      <c r="A53" s="10" t="s">
        <v>83</v>
      </c>
      <c r="B53" s="13" t="s">
        <v>84</v>
      </c>
      <c r="C53" s="11">
        <f>724.24/7.5345</f>
        <v>96.123166766208769</v>
      </c>
      <c r="D53" s="14">
        <v>300</v>
      </c>
      <c r="E53" s="14">
        <v>300</v>
      </c>
      <c r="F53" s="14">
        <v>0</v>
      </c>
      <c r="G53" s="11">
        <f t="shared" si="6"/>
        <v>0</v>
      </c>
      <c r="H53" s="11">
        <f t="shared" si="7"/>
        <v>0</v>
      </c>
    </row>
    <row r="54" spans="1:8" x14ac:dyDescent="0.25">
      <c r="A54" s="10" t="s">
        <v>85</v>
      </c>
      <c r="B54" s="13" t="s">
        <v>86</v>
      </c>
      <c r="C54" s="11">
        <f>SUM(C55:C60)</f>
        <v>35491.852146791418</v>
      </c>
      <c r="D54" s="11">
        <f>SUM(D55:D60)</f>
        <v>42700</v>
      </c>
      <c r="E54" s="11">
        <f>SUM(E55:E60)</f>
        <v>50000</v>
      </c>
      <c r="F54" s="11">
        <f>SUM(F55:F60)</f>
        <v>54605.87999999999</v>
      </c>
      <c r="G54" s="11">
        <f t="shared" si="6"/>
        <v>153.85</v>
      </c>
      <c r="H54" s="11">
        <f t="shared" si="7"/>
        <v>109.21</v>
      </c>
    </row>
    <row r="55" spans="1:8" x14ac:dyDescent="0.25">
      <c r="A55" s="10" t="s">
        <v>87</v>
      </c>
      <c r="B55" s="13" t="s">
        <v>88</v>
      </c>
      <c r="C55" s="11">
        <f>35965.79/7.5345</f>
        <v>4773.4806556506737</v>
      </c>
      <c r="D55" s="14">
        <f>3300+2000</f>
        <v>5300</v>
      </c>
      <c r="E55" s="14">
        <f>3300+2000</f>
        <v>5300</v>
      </c>
      <c r="F55" s="14">
        <v>6621.01</v>
      </c>
      <c r="G55" s="11">
        <f t="shared" si="6"/>
        <v>138.69999999999999</v>
      </c>
      <c r="H55" s="11">
        <f t="shared" si="7"/>
        <v>124.92</v>
      </c>
    </row>
    <row r="56" spans="1:8" x14ac:dyDescent="0.25">
      <c r="A56" s="10" t="s">
        <v>89</v>
      </c>
      <c r="B56" s="13" t="s">
        <v>90</v>
      </c>
      <c r="C56" s="11">
        <f>59212.55/7.5345</f>
        <v>7858.8559293914659</v>
      </c>
      <c r="D56" s="14">
        <f>200+2000+8600</f>
        <v>10800</v>
      </c>
      <c r="E56" s="14">
        <f>200+2000+14000</f>
        <v>16200</v>
      </c>
      <c r="F56" s="14">
        <v>25124.59</v>
      </c>
      <c r="G56" s="11">
        <f t="shared" si="6"/>
        <v>319.7</v>
      </c>
      <c r="H56" s="11">
        <f t="shared" si="7"/>
        <v>155.09</v>
      </c>
    </row>
    <row r="57" spans="1:8" x14ac:dyDescent="0.25">
      <c r="A57" s="10" t="s">
        <v>91</v>
      </c>
      <c r="B57" s="13" t="s">
        <v>92</v>
      </c>
      <c r="C57" s="11">
        <f>148152.81/7.5345</f>
        <v>19663.257017718493</v>
      </c>
      <c r="D57" s="14">
        <f>17200+2700+300</f>
        <v>20200</v>
      </c>
      <c r="E57" s="14">
        <f>19200+2700</f>
        <v>21900</v>
      </c>
      <c r="F57" s="14">
        <v>17912.41</v>
      </c>
      <c r="G57" s="11">
        <f t="shared" si="6"/>
        <v>91.1</v>
      </c>
      <c r="H57" s="11">
        <f t="shared" si="7"/>
        <v>81.790000000000006</v>
      </c>
    </row>
    <row r="58" spans="1:8" ht="22.5" x14ac:dyDescent="0.25">
      <c r="A58" s="10" t="s">
        <v>93</v>
      </c>
      <c r="B58" s="13" t="s">
        <v>94</v>
      </c>
      <c r="C58" s="11">
        <f>13622.96/7.5345</f>
        <v>1808.0775101201139</v>
      </c>
      <c r="D58" s="14">
        <f>700+4000</f>
        <v>4700</v>
      </c>
      <c r="E58" s="14">
        <f>700+4000</f>
        <v>4700</v>
      </c>
      <c r="F58" s="14">
        <v>2049.39</v>
      </c>
      <c r="G58" s="11">
        <f t="shared" si="6"/>
        <v>113.35</v>
      </c>
      <c r="H58" s="11">
        <f t="shared" si="7"/>
        <v>43.6</v>
      </c>
    </row>
    <row r="59" spans="1:8" x14ac:dyDescent="0.25">
      <c r="A59" s="10" t="s">
        <v>95</v>
      </c>
      <c r="B59" s="13" t="s">
        <v>96</v>
      </c>
      <c r="C59" s="11">
        <f>8892.15/7.5345</f>
        <v>1180.191120844117</v>
      </c>
      <c r="D59" s="14">
        <v>700</v>
      </c>
      <c r="E59" s="14">
        <f>700+500</f>
        <v>1200</v>
      </c>
      <c r="F59" s="14">
        <v>2733.6</v>
      </c>
      <c r="G59" s="11">
        <f t="shared" si="6"/>
        <v>231.62</v>
      </c>
      <c r="H59" s="11">
        <f t="shared" si="7"/>
        <v>227.8</v>
      </c>
    </row>
    <row r="60" spans="1:8" x14ac:dyDescent="0.25">
      <c r="A60" s="10" t="s">
        <v>97</v>
      </c>
      <c r="B60" s="13" t="s">
        <v>98</v>
      </c>
      <c r="C60" s="11">
        <f>1567.1/7.5345</f>
        <v>207.98991306656046</v>
      </c>
      <c r="D60" s="14">
        <f>700+300</f>
        <v>1000</v>
      </c>
      <c r="E60" s="14">
        <v>700</v>
      </c>
      <c r="F60" s="14">
        <v>164.88</v>
      </c>
      <c r="G60" s="11">
        <f t="shared" si="6"/>
        <v>79.27</v>
      </c>
      <c r="H60" s="11">
        <f t="shared" si="7"/>
        <v>23.55</v>
      </c>
    </row>
    <row r="61" spans="1:8" x14ac:dyDescent="0.25">
      <c r="A61" s="10" t="s">
        <v>99</v>
      </c>
      <c r="B61" s="13" t="s">
        <v>100</v>
      </c>
      <c r="C61" s="11">
        <f>SUM(C62:C70)</f>
        <v>169960.11546884332</v>
      </c>
      <c r="D61" s="11">
        <f>SUM(D62:D70)</f>
        <v>171900</v>
      </c>
      <c r="E61" s="11">
        <f>SUM(E62:E70)</f>
        <v>165400</v>
      </c>
      <c r="F61" s="11">
        <f>SUM(F62:F70)</f>
        <v>227454.92999999996</v>
      </c>
      <c r="G61" s="11">
        <f t="shared" si="6"/>
        <v>133.83000000000001</v>
      </c>
      <c r="H61" s="11">
        <f t="shared" si="7"/>
        <v>137.52000000000001</v>
      </c>
    </row>
    <row r="62" spans="1:8" x14ac:dyDescent="0.25">
      <c r="A62" s="10" t="s">
        <v>101</v>
      </c>
      <c r="B62" s="13" t="s">
        <v>102</v>
      </c>
      <c r="C62" s="11">
        <f>27413.35/7.5345</f>
        <v>3638.3768000530886</v>
      </c>
      <c r="D62" s="14">
        <f>3200+1200</f>
        <v>4400</v>
      </c>
      <c r="E62" s="28">
        <f>2700+1200</f>
        <v>3900</v>
      </c>
      <c r="F62" s="14">
        <v>3468.69</v>
      </c>
      <c r="G62" s="11">
        <f t="shared" si="6"/>
        <v>95.34</v>
      </c>
      <c r="H62" s="11">
        <f t="shared" si="7"/>
        <v>88.94</v>
      </c>
    </row>
    <row r="63" spans="1:8" x14ac:dyDescent="0.25">
      <c r="A63" s="10" t="s">
        <v>103</v>
      </c>
      <c r="B63" s="13" t="s">
        <v>104</v>
      </c>
      <c r="C63" s="11">
        <f>167644.98/7.5345</f>
        <v>22250.312562213818</v>
      </c>
      <c r="D63" s="14">
        <f>2000+6700</f>
        <v>8700</v>
      </c>
      <c r="E63" s="14">
        <f>10000+6700</f>
        <v>16700</v>
      </c>
      <c r="F63" s="14">
        <v>14500.82</v>
      </c>
      <c r="G63" s="11">
        <f t="shared" si="6"/>
        <v>65.17</v>
      </c>
      <c r="H63" s="11">
        <f t="shared" si="7"/>
        <v>86.83</v>
      </c>
    </row>
    <row r="64" spans="1:8" x14ac:dyDescent="0.25">
      <c r="A64" s="10" t="s">
        <v>105</v>
      </c>
      <c r="B64" s="13" t="s">
        <v>106</v>
      </c>
      <c r="C64" s="11">
        <f>54800.01/7.5345</f>
        <v>7273.2112283495917</v>
      </c>
      <c r="D64" s="14">
        <f>5300+8600</f>
        <v>13900</v>
      </c>
      <c r="E64" s="14">
        <f>5300+8600</f>
        <v>13900</v>
      </c>
      <c r="F64" s="14">
        <v>11418.07</v>
      </c>
      <c r="G64" s="11">
        <f t="shared" si="6"/>
        <v>156.99</v>
      </c>
      <c r="H64" s="11">
        <f t="shared" si="7"/>
        <v>82.14</v>
      </c>
    </row>
    <row r="65" spans="1:8" x14ac:dyDescent="0.25">
      <c r="A65" s="10" t="s">
        <v>107</v>
      </c>
      <c r="B65" s="13" t="s">
        <v>108</v>
      </c>
      <c r="C65" s="11">
        <f>46298.25/7.5345</f>
        <v>6144.8337646824602</v>
      </c>
      <c r="D65" s="14">
        <f>5300+500</f>
        <v>5800</v>
      </c>
      <c r="E65" s="14">
        <f>3800+500</f>
        <v>4300</v>
      </c>
      <c r="F65" s="14">
        <v>4416.0200000000004</v>
      </c>
      <c r="G65" s="11">
        <f t="shared" si="6"/>
        <v>71.87</v>
      </c>
      <c r="H65" s="11">
        <f t="shared" si="7"/>
        <v>102.7</v>
      </c>
    </row>
    <row r="66" spans="1:8" x14ac:dyDescent="0.25">
      <c r="A66" s="10" t="s">
        <v>109</v>
      </c>
      <c r="B66" s="13" t="s">
        <v>110</v>
      </c>
      <c r="C66" s="11">
        <v>0</v>
      </c>
      <c r="D66" s="14">
        <v>400</v>
      </c>
      <c r="E66" s="14">
        <v>400</v>
      </c>
      <c r="F66" s="14">
        <v>0</v>
      </c>
      <c r="G66" s="11">
        <v>0</v>
      </c>
      <c r="H66" s="11">
        <f t="shared" si="7"/>
        <v>0</v>
      </c>
    </row>
    <row r="67" spans="1:8" x14ac:dyDescent="0.25">
      <c r="A67" s="10" t="s">
        <v>111</v>
      </c>
      <c r="B67" s="13" t="s">
        <v>112</v>
      </c>
      <c r="C67" s="11">
        <f>38045/7.5345</f>
        <v>5049.4392461344478</v>
      </c>
      <c r="D67" s="14">
        <v>200</v>
      </c>
      <c r="E67" s="14">
        <f>2200+400</f>
        <v>2600</v>
      </c>
      <c r="F67" s="14">
        <v>2477.35</v>
      </c>
      <c r="G67" s="11">
        <f t="shared" si="6"/>
        <v>49.06</v>
      </c>
      <c r="H67" s="11">
        <f t="shared" si="7"/>
        <v>95.28</v>
      </c>
    </row>
    <row r="68" spans="1:8" x14ac:dyDescent="0.25">
      <c r="A68" s="10" t="s">
        <v>113</v>
      </c>
      <c r="B68" s="13" t="s">
        <v>114</v>
      </c>
      <c r="C68" s="11">
        <f>866013.67/7.5345</f>
        <v>114939.76640785718</v>
      </c>
      <c r="D68" s="14">
        <f>100+59800+63200</f>
        <v>123100</v>
      </c>
      <c r="E68" s="14">
        <f>100+60000+48100</f>
        <v>108200</v>
      </c>
      <c r="F68" s="14">
        <v>175897.58</v>
      </c>
      <c r="G68" s="11">
        <f t="shared" si="6"/>
        <v>153.03</v>
      </c>
      <c r="H68" s="11">
        <f t="shared" si="7"/>
        <v>162.57</v>
      </c>
    </row>
    <row r="69" spans="1:8" x14ac:dyDescent="0.25">
      <c r="A69" s="10" t="s">
        <v>115</v>
      </c>
      <c r="B69" s="13" t="s">
        <v>116</v>
      </c>
      <c r="C69" s="11">
        <f>59152.39/7.5345</f>
        <v>7850.8713252372418</v>
      </c>
      <c r="D69" s="14">
        <f>4000+4600</f>
        <v>8600</v>
      </c>
      <c r="E69" s="14">
        <f>4000+4600</f>
        <v>8600</v>
      </c>
      <c r="F69" s="14">
        <v>7560.35</v>
      </c>
      <c r="G69" s="11">
        <f t="shared" si="6"/>
        <v>96.3</v>
      </c>
      <c r="H69" s="11">
        <f t="shared" si="7"/>
        <v>87.91</v>
      </c>
    </row>
    <row r="70" spans="1:8" x14ac:dyDescent="0.25">
      <c r="A70" s="10" t="s">
        <v>117</v>
      </c>
      <c r="B70" s="13" t="s">
        <v>118</v>
      </c>
      <c r="C70" s="11">
        <f>21196.84/7.5345</f>
        <v>2813.3041343154819</v>
      </c>
      <c r="D70" s="14">
        <f>2000+4800</f>
        <v>6800</v>
      </c>
      <c r="E70" s="14">
        <f>2000+4800</f>
        <v>6800</v>
      </c>
      <c r="F70" s="14">
        <v>7716.05</v>
      </c>
      <c r="G70" s="11">
        <f t="shared" si="6"/>
        <v>274.27</v>
      </c>
      <c r="H70" s="11">
        <f t="shared" si="7"/>
        <v>113.47</v>
      </c>
    </row>
    <row r="71" spans="1:8" ht="22.5" x14ac:dyDescent="0.25">
      <c r="A71" s="10" t="s">
        <v>119</v>
      </c>
      <c r="B71" s="13" t="s">
        <v>120</v>
      </c>
      <c r="C71" s="11">
        <f>C72</f>
        <v>1435.5298958125952</v>
      </c>
      <c r="D71" s="11">
        <f>D72</f>
        <v>7000</v>
      </c>
      <c r="E71" s="11">
        <f>E72</f>
        <v>800</v>
      </c>
      <c r="F71" s="11">
        <f>F72</f>
        <v>223.89</v>
      </c>
      <c r="G71" s="11">
        <f t="shared" si="6"/>
        <v>15.6</v>
      </c>
      <c r="H71" s="11">
        <f t="shared" si="7"/>
        <v>27.99</v>
      </c>
    </row>
    <row r="72" spans="1:8" ht="22.5" x14ac:dyDescent="0.25">
      <c r="A72" s="10" t="s">
        <v>121</v>
      </c>
      <c r="B72" s="13" t="s">
        <v>120</v>
      </c>
      <c r="C72" s="11">
        <f>10816/7.5345</f>
        <v>1435.5298958125952</v>
      </c>
      <c r="D72" s="14">
        <f>800+900+5300</f>
        <v>7000</v>
      </c>
      <c r="E72" s="14">
        <v>800</v>
      </c>
      <c r="F72" s="14">
        <v>223.89</v>
      </c>
      <c r="G72" s="11">
        <f t="shared" si="6"/>
        <v>15.6</v>
      </c>
      <c r="H72" s="11">
        <f t="shared" si="7"/>
        <v>27.99</v>
      </c>
    </row>
    <row r="73" spans="1:8" x14ac:dyDescent="0.25">
      <c r="A73" s="10" t="s">
        <v>122</v>
      </c>
      <c r="B73" s="13" t="s">
        <v>123</v>
      </c>
      <c r="C73" s="11">
        <f>SUM(C74:C80)</f>
        <v>12361.065764151568</v>
      </c>
      <c r="D73" s="11">
        <f>SUM(D74:D80)</f>
        <v>17300</v>
      </c>
      <c r="E73" s="11">
        <f>SUM(E74:E80)</f>
        <v>17100</v>
      </c>
      <c r="F73" s="11">
        <f>SUM(F74:F80)</f>
        <v>10241.91</v>
      </c>
      <c r="G73" s="11">
        <f t="shared" si="6"/>
        <v>82.86</v>
      </c>
      <c r="H73" s="11">
        <f t="shared" si="7"/>
        <v>59.89</v>
      </c>
    </row>
    <row r="74" spans="1:8" ht="22.5" x14ac:dyDescent="0.25">
      <c r="A74" s="10" t="s">
        <v>124</v>
      </c>
      <c r="B74" s="13" t="s">
        <v>125</v>
      </c>
      <c r="C74" s="11">
        <f>7408.05/7.5345</f>
        <v>983.21720087597055</v>
      </c>
      <c r="D74" s="14">
        <v>1600</v>
      </c>
      <c r="E74" s="14">
        <v>1600</v>
      </c>
      <c r="F74" s="14">
        <v>1198.02</v>
      </c>
      <c r="G74" s="11">
        <f t="shared" si="6"/>
        <v>121.85</v>
      </c>
      <c r="H74" s="11">
        <f t="shared" si="7"/>
        <v>74.88</v>
      </c>
    </row>
    <row r="75" spans="1:8" x14ac:dyDescent="0.25">
      <c r="A75" s="10" t="s">
        <v>126</v>
      </c>
      <c r="B75" s="13" t="s">
        <v>127</v>
      </c>
      <c r="C75" s="11">
        <f>29884.36/7.5345</f>
        <v>3966.3361868737143</v>
      </c>
      <c r="D75" s="14">
        <f>3500+800</f>
        <v>4300</v>
      </c>
      <c r="E75" s="14">
        <f>3300+800</f>
        <v>4100</v>
      </c>
      <c r="F75" s="14">
        <v>4173.6099999999997</v>
      </c>
      <c r="G75" s="11">
        <f t="shared" si="6"/>
        <v>105.23</v>
      </c>
      <c r="H75" s="11">
        <f t="shared" si="7"/>
        <v>101.8</v>
      </c>
    </row>
    <row r="76" spans="1:8" x14ac:dyDescent="0.25">
      <c r="A76" s="10" t="s">
        <v>128</v>
      </c>
      <c r="B76" s="13" t="s">
        <v>129</v>
      </c>
      <c r="C76" s="11">
        <f>25575.74/7.5345</f>
        <v>3394.4840400822882</v>
      </c>
      <c r="D76" s="14">
        <v>4700</v>
      </c>
      <c r="E76" s="14">
        <f>200+4700</f>
        <v>4900</v>
      </c>
      <c r="F76" s="14">
        <v>1907.43</v>
      </c>
      <c r="G76" s="11">
        <f t="shared" si="6"/>
        <v>56.19</v>
      </c>
      <c r="H76" s="11">
        <f t="shared" si="7"/>
        <v>38.93</v>
      </c>
    </row>
    <row r="77" spans="1:8" x14ac:dyDescent="0.25">
      <c r="A77" s="10" t="s">
        <v>130</v>
      </c>
      <c r="B77" s="13" t="s">
        <v>131</v>
      </c>
      <c r="C77" s="11">
        <f>2250/7.5345</f>
        <v>298.62631893290859</v>
      </c>
      <c r="D77" s="14">
        <f>200+400</f>
        <v>600</v>
      </c>
      <c r="E77" s="14">
        <f>1500+400</f>
        <v>1900</v>
      </c>
      <c r="F77" s="14">
        <v>199.08</v>
      </c>
      <c r="G77" s="11">
        <f t="shared" si="6"/>
        <v>66.67</v>
      </c>
      <c r="H77" s="11">
        <f t="shared" si="7"/>
        <v>10.48</v>
      </c>
    </row>
    <row r="78" spans="1:8" x14ac:dyDescent="0.25">
      <c r="A78" s="10" t="s">
        <v>132</v>
      </c>
      <c r="B78" s="13" t="s">
        <v>133</v>
      </c>
      <c r="C78" s="11">
        <f>13216/7.5345</f>
        <v>1754.0646360076978</v>
      </c>
      <c r="D78" s="14">
        <f>1500+300</f>
        <v>1800</v>
      </c>
      <c r="E78" s="14">
        <v>300</v>
      </c>
      <c r="F78" s="14">
        <v>1699.91</v>
      </c>
      <c r="G78" s="11">
        <f t="shared" si="6"/>
        <v>96.91</v>
      </c>
      <c r="H78" s="11">
        <f t="shared" si="7"/>
        <v>566.64</v>
      </c>
    </row>
    <row r="79" spans="1:8" x14ac:dyDescent="0.25">
      <c r="A79" s="10" t="s">
        <v>134</v>
      </c>
      <c r="B79" s="13" t="s">
        <v>135</v>
      </c>
      <c r="C79" s="11">
        <f>3750/7.5345</f>
        <v>497.71053155484765</v>
      </c>
      <c r="D79" s="14">
        <f>1100+1200</f>
        <v>2300</v>
      </c>
      <c r="E79" s="14">
        <v>1200</v>
      </c>
      <c r="F79" s="14">
        <v>0</v>
      </c>
      <c r="G79" s="11">
        <f t="shared" si="6"/>
        <v>0</v>
      </c>
      <c r="H79" s="11">
        <f t="shared" si="7"/>
        <v>0</v>
      </c>
    </row>
    <row r="80" spans="1:8" x14ac:dyDescent="0.25">
      <c r="A80" s="10" t="s">
        <v>136</v>
      </c>
      <c r="B80" s="13" t="s">
        <v>123</v>
      </c>
      <c r="C80" s="11">
        <f>11050.3/7.5345</f>
        <v>1466.626849824142</v>
      </c>
      <c r="D80" s="14">
        <v>2000</v>
      </c>
      <c r="E80" s="14">
        <f>1100+2000</f>
        <v>3100</v>
      </c>
      <c r="F80" s="14">
        <v>1063.8599999999999</v>
      </c>
      <c r="G80" s="11">
        <f t="shared" si="6"/>
        <v>72.540000000000006</v>
      </c>
      <c r="H80" s="11">
        <f t="shared" si="7"/>
        <v>34.32</v>
      </c>
    </row>
    <row r="81" spans="1:8" x14ac:dyDescent="0.25">
      <c r="A81" s="10" t="s">
        <v>137</v>
      </c>
      <c r="B81" s="13" t="s">
        <v>138</v>
      </c>
      <c r="C81" s="11">
        <f>C82</f>
        <v>3570.3351250912465</v>
      </c>
      <c r="D81" s="11">
        <f>D82</f>
        <v>3500</v>
      </c>
      <c r="E81" s="11">
        <f>E82</f>
        <v>3500</v>
      </c>
      <c r="F81" s="11">
        <f>F82</f>
        <v>3645.55</v>
      </c>
      <c r="G81" s="11">
        <f t="shared" si="6"/>
        <v>102.11</v>
      </c>
      <c r="H81" s="11">
        <f t="shared" si="7"/>
        <v>104.16</v>
      </c>
    </row>
    <row r="82" spans="1:8" x14ac:dyDescent="0.25">
      <c r="A82" s="10" t="s">
        <v>139</v>
      </c>
      <c r="B82" s="13" t="s">
        <v>140</v>
      </c>
      <c r="C82" s="11">
        <f>SUM(C83:C85)</f>
        <v>3570.3351250912465</v>
      </c>
      <c r="D82" s="11">
        <f>SUM(D83:D85)</f>
        <v>3500</v>
      </c>
      <c r="E82" s="11">
        <f>SUM(E83:E85)</f>
        <v>3500</v>
      </c>
      <c r="F82" s="11">
        <f>SUM(F83:F85)</f>
        <v>3645.55</v>
      </c>
      <c r="G82" s="11">
        <f t="shared" si="6"/>
        <v>102.11</v>
      </c>
      <c r="H82" s="11">
        <f t="shared" si="7"/>
        <v>104.16</v>
      </c>
    </row>
    <row r="83" spans="1:8" x14ac:dyDescent="0.25">
      <c r="A83" s="10" t="s">
        <v>141</v>
      </c>
      <c r="B83" s="13" t="s">
        <v>142</v>
      </c>
      <c r="C83" s="11">
        <f>26533.86/7.5345</f>
        <v>3521.6484172805094</v>
      </c>
      <c r="D83" s="14">
        <f>1700+1600</f>
        <v>3300</v>
      </c>
      <c r="E83" s="14">
        <f>1700+1600</f>
        <v>3300</v>
      </c>
      <c r="F83" s="14">
        <v>3638.37</v>
      </c>
      <c r="G83" s="11">
        <f t="shared" si="6"/>
        <v>103.31</v>
      </c>
      <c r="H83" s="11">
        <f t="shared" si="7"/>
        <v>110.25</v>
      </c>
    </row>
    <row r="84" spans="1:8" ht="22.5" x14ac:dyDescent="0.25">
      <c r="A84" s="10" t="s">
        <v>143</v>
      </c>
      <c r="B84" s="13" t="s">
        <v>144</v>
      </c>
      <c r="C84" s="11">
        <f>215.37/7.5345</f>
        <v>28.584511248258011</v>
      </c>
      <c r="D84" s="14">
        <v>100</v>
      </c>
      <c r="E84" s="14">
        <v>100</v>
      </c>
      <c r="F84" s="14">
        <v>0.05</v>
      </c>
      <c r="G84" s="11">
        <f t="shared" si="6"/>
        <v>0.17</v>
      </c>
      <c r="H84" s="11">
        <f t="shared" si="7"/>
        <v>0.05</v>
      </c>
    </row>
    <row r="85" spans="1:8" x14ac:dyDescent="0.25">
      <c r="A85" s="10" t="s">
        <v>145</v>
      </c>
      <c r="B85" s="13" t="s">
        <v>146</v>
      </c>
      <c r="C85" s="11">
        <f>151.46/7.5345</f>
        <v>20.102196562479261</v>
      </c>
      <c r="D85" s="14">
        <v>100</v>
      </c>
      <c r="E85" s="14">
        <v>100</v>
      </c>
      <c r="F85" s="14">
        <v>7.13</v>
      </c>
      <c r="G85" s="11">
        <f t="shared" si="6"/>
        <v>35.47</v>
      </c>
      <c r="H85" s="11">
        <f t="shared" si="7"/>
        <v>7.13</v>
      </c>
    </row>
    <row r="86" spans="1:8" ht="22.5" x14ac:dyDescent="0.25">
      <c r="A86" s="10" t="s">
        <v>147</v>
      </c>
      <c r="B86" s="13" t="s">
        <v>148</v>
      </c>
      <c r="C86" s="11">
        <f>C87</f>
        <v>0</v>
      </c>
      <c r="D86" s="11">
        <f t="shared" ref="D86:H87" si="8">D87</f>
        <v>0</v>
      </c>
      <c r="E86" s="11">
        <f t="shared" si="8"/>
        <v>0</v>
      </c>
      <c r="F86" s="11">
        <f t="shared" si="8"/>
        <v>0</v>
      </c>
      <c r="G86" s="11">
        <f t="shared" si="8"/>
        <v>0</v>
      </c>
      <c r="H86" s="11">
        <f t="shared" si="8"/>
        <v>0</v>
      </c>
    </row>
    <row r="87" spans="1:8" ht="22.5" x14ac:dyDescent="0.25">
      <c r="A87" s="10" t="s">
        <v>149</v>
      </c>
      <c r="B87" s="13" t="s">
        <v>150</v>
      </c>
      <c r="C87" s="11">
        <f>C88</f>
        <v>0</v>
      </c>
      <c r="D87" s="11">
        <f t="shared" si="8"/>
        <v>0</v>
      </c>
      <c r="E87" s="11">
        <f t="shared" si="8"/>
        <v>0</v>
      </c>
      <c r="F87" s="11">
        <f t="shared" si="8"/>
        <v>0</v>
      </c>
      <c r="G87" s="11">
        <f t="shared" si="8"/>
        <v>0</v>
      </c>
      <c r="H87" s="11">
        <f t="shared" si="8"/>
        <v>0</v>
      </c>
    </row>
    <row r="88" spans="1:8" ht="22.5" x14ac:dyDescent="0.25">
      <c r="A88" s="10" t="s">
        <v>151</v>
      </c>
      <c r="B88" s="13" t="s">
        <v>152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</row>
    <row r="89" spans="1:8" ht="22.5" x14ac:dyDescent="0.25">
      <c r="A89" s="10" t="s">
        <v>153</v>
      </c>
      <c r="B89" s="13" t="s">
        <v>154</v>
      </c>
      <c r="C89" s="11">
        <f>C90</f>
        <v>0</v>
      </c>
      <c r="D89" s="11">
        <f t="shared" ref="D89:H89" si="9">D90</f>
        <v>0</v>
      </c>
      <c r="E89" s="11">
        <f t="shared" si="9"/>
        <v>0</v>
      </c>
      <c r="F89" s="11">
        <f t="shared" si="9"/>
        <v>0</v>
      </c>
      <c r="G89" s="11">
        <f t="shared" si="9"/>
        <v>0</v>
      </c>
      <c r="H89" s="11">
        <f t="shared" si="9"/>
        <v>0</v>
      </c>
    </row>
    <row r="90" spans="1:8" ht="22.5" x14ac:dyDescent="0.25">
      <c r="A90" s="10" t="s">
        <v>155</v>
      </c>
      <c r="B90" s="13" t="s">
        <v>156</v>
      </c>
      <c r="C90" s="11">
        <f>C91</f>
        <v>0</v>
      </c>
      <c r="D90" s="11">
        <f t="shared" ref="D89:F90" si="10">D91</f>
        <v>0</v>
      </c>
      <c r="E90" s="11">
        <f t="shared" si="10"/>
        <v>0</v>
      </c>
      <c r="F90" s="11">
        <f t="shared" si="10"/>
        <v>0</v>
      </c>
      <c r="G90" s="11">
        <f t="shared" ref="G90:H90" si="11">G91</f>
        <v>0</v>
      </c>
      <c r="H90" s="11">
        <f t="shared" si="11"/>
        <v>0</v>
      </c>
    </row>
    <row r="91" spans="1:8" x14ac:dyDescent="0.25">
      <c r="A91" s="10" t="s">
        <v>157</v>
      </c>
      <c r="B91" s="13" t="s">
        <v>158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</row>
    <row r="92" spans="1:8" x14ac:dyDescent="0.25">
      <c r="A92" s="10" t="s">
        <v>159</v>
      </c>
      <c r="B92" s="13" t="s">
        <v>160</v>
      </c>
      <c r="C92" s="11">
        <f>C93+C96</f>
        <v>11693.813789899792</v>
      </c>
      <c r="D92" s="11">
        <f>D93+D96</f>
        <v>149300</v>
      </c>
      <c r="E92" s="11">
        <f>E93+E96</f>
        <v>148000</v>
      </c>
      <c r="F92" s="11">
        <f>F93+F96</f>
        <v>7050.32</v>
      </c>
      <c r="G92" s="11">
        <f t="shared" si="6"/>
        <v>60.29</v>
      </c>
      <c r="H92" s="11">
        <f t="shared" si="7"/>
        <v>4.76</v>
      </c>
    </row>
    <row r="93" spans="1:8" ht="22.5" x14ac:dyDescent="0.25">
      <c r="A93" s="10" t="s">
        <v>161</v>
      </c>
      <c r="B93" s="13" t="s">
        <v>162</v>
      </c>
      <c r="C93" s="11">
        <f>C94</f>
        <v>0</v>
      </c>
      <c r="D93" s="11">
        <f t="shared" ref="D93:H93" si="12">D94</f>
        <v>0</v>
      </c>
      <c r="E93" s="11">
        <f t="shared" si="12"/>
        <v>0</v>
      </c>
      <c r="F93" s="11">
        <f t="shared" si="12"/>
        <v>0</v>
      </c>
      <c r="G93" s="11">
        <f t="shared" si="12"/>
        <v>0</v>
      </c>
      <c r="H93" s="11">
        <f t="shared" si="12"/>
        <v>0</v>
      </c>
    </row>
    <row r="94" spans="1:8" x14ac:dyDescent="0.25">
      <c r="A94" s="10" t="s">
        <v>163</v>
      </c>
      <c r="B94" s="13" t="s">
        <v>164</v>
      </c>
      <c r="C94" s="11">
        <f>D95</f>
        <v>0</v>
      </c>
      <c r="D94" s="11">
        <f t="shared" ref="D94:H94" si="13">E95</f>
        <v>0</v>
      </c>
      <c r="E94" s="11">
        <f t="shared" si="13"/>
        <v>0</v>
      </c>
      <c r="F94" s="11">
        <f t="shared" si="13"/>
        <v>0</v>
      </c>
      <c r="G94" s="11">
        <f t="shared" si="13"/>
        <v>0</v>
      </c>
      <c r="H94" s="11">
        <f t="shared" si="13"/>
        <v>0</v>
      </c>
    </row>
    <row r="95" spans="1:8" x14ac:dyDescent="0.25">
      <c r="A95" s="10" t="s">
        <v>165</v>
      </c>
      <c r="B95" s="13" t="s">
        <v>166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</row>
    <row r="96" spans="1:8" ht="22.5" x14ac:dyDescent="0.25">
      <c r="A96" s="10" t="s">
        <v>167</v>
      </c>
      <c r="B96" s="13" t="s">
        <v>168</v>
      </c>
      <c r="C96" s="11">
        <f>C97</f>
        <v>11693.813789899792</v>
      </c>
      <c r="D96" s="11">
        <f>D97+D103</f>
        <v>149300</v>
      </c>
      <c r="E96" s="11">
        <f>E97+E103</f>
        <v>148000</v>
      </c>
      <c r="F96" s="11">
        <f>F97</f>
        <v>7050.32</v>
      </c>
      <c r="G96" s="11">
        <f t="shared" si="6"/>
        <v>60.29</v>
      </c>
      <c r="H96" s="11">
        <f t="shared" si="7"/>
        <v>4.76</v>
      </c>
    </row>
    <row r="97" spans="1:8" x14ac:dyDescent="0.25">
      <c r="A97" s="10" t="s">
        <v>169</v>
      </c>
      <c r="B97" s="13" t="s">
        <v>170</v>
      </c>
      <c r="C97" s="11">
        <f>SUM(C98:C102)</f>
        <v>11693.813789899792</v>
      </c>
      <c r="D97" s="11">
        <f>SUM(D98:D102)</f>
        <v>108300</v>
      </c>
      <c r="E97" s="11">
        <f>SUM(E98:E102)</f>
        <v>107000</v>
      </c>
      <c r="F97" s="11">
        <f>SUM(F98:F102)</f>
        <v>7050.32</v>
      </c>
      <c r="G97" s="11">
        <f t="shared" si="6"/>
        <v>60.29</v>
      </c>
      <c r="H97" s="11">
        <f t="shared" si="7"/>
        <v>6.59</v>
      </c>
    </row>
    <row r="98" spans="1:8" x14ac:dyDescent="0.25">
      <c r="A98" s="10" t="s">
        <v>171</v>
      </c>
      <c r="B98" s="13" t="s">
        <v>172</v>
      </c>
      <c r="C98" s="11">
        <f>10107.99/7.5345</f>
        <v>1341.5608202269559</v>
      </c>
      <c r="D98" s="14">
        <v>3000</v>
      </c>
      <c r="E98" s="14">
        <v>3000</v>
      </c>
      <c r="F98" s="14">
        <v>2564.73</v>
      </c>
      <c r="G98" s="11">
        <f t="shared" si="6"/>
        <v>191.18</v>
      </c>
      <c r="H98" s="11">
        <f t="shared" si="7"/>
        <v>85.49</v>
      </c>
    </row>
    <row r="99" spans="1:8" x14ac:dyDescent="0.25">
      <c r="A99" s="10" t="s">
        <v>173</v>
      </c>
      <c r="B99" s="13" t="s">
        <v>174</v>
      </c>
      <c r="C99" s="11">
        <f>6/7.5345</f>
        <v>0.79633685048775626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</row>
    <row r="100" spans="1:8" x14ac:dyDescent="0.25">
      <c r="A100" s="10" t="s">
        <v>175</v>
      </c>
      <c r="B100" s="13" t="s">
        <v>176</v>
      </c>
      <c r="C100" s="11">
        <f>3299.99/7.5345</f>
        <v>437.98394054018178</v>
      </c>
      <c r="D100" s="14">
        <v>86300</v>
      </c>
      <c r="E100" s="14">
        <v>86300</v>
      </c>
      <c r="F100" s="14">
        <v>1768.84</v>
      </c>
      <c r="G100" s="11">
        <f>ROUND((F100/C100*100),2)</f>
        <v>403.86</v>
      </c>
      <c r="H100" s="11">
        <f>ROUND((F100/E100*100),2)</f>
        <v>2.0499999999999998</v>
      </c>
    </row>
    <row r="101" spans="1:8" x14ac:dyDescent="0.25">
      <c r="A101" s="10" t="s">
        <v>177</v>
      </c>
      <c r="B101" s="13" t="s">
        <v>178</v>
      </c>
      <c r="C101" s="11">
        <f>15096/7.5345</f>
        <v>2003.5835158271948</v>
      </c>
      <c r="D101" s="14">
        <v>2700</v>
      </c>
      <c r="E101" s="14">
        <v>2700</v>
      </c>
      <c r="F101" s="14">
        <v>1559.75</v>
      </c>
      <c r="G101" s="11">
        <f>ROUND((F101/C101*100),2)</f>
        <v>77.849999999999994</v>
      </c>
      <c r="H101" s="11">
        <f>ROUND((F101/E101*100),2)</f>
        <v>57.77</v>
      </c>
    </row>
    <row r="102" spans="1:8" x14ac:dyDescent="0.25">
      <c r="A102" s="10" t="s">
        <v>179</v>
      </c>
      <c r="B102" s="13" t="s">
        <v>180</v>
      </c>
      <c r="C102" s="11">
        <f>59597.06/7.5345</f>
        <v>7909.8891764549726</v>
      </c>
      <c r="D102" s="14">
        <f>1300+15000</f>
        <v>16300</v>
      </c>
      <c r="E102" s="14">
        <v>15000</v>
      </c>
      <c r="F102" s="14">
        <v>1157</v>
      </c>
      <c r="G102" s="11">
        <f>ROUND((F102/C102*100),2)</f>
        <v>14.63</v>
      </c>
      <c r="H102" s="11">
        <f>ROUND((F102/E102*100),2)</f>
        <v>7.71</v>
      </c>
    </row>
    <row r="103" spans="1:8" x14ac:dyDescent="0.25">
      <c r="A103" s="10">
        <v>423</v>
      </c>
      <c r="B103" s="15" t="s">
        <v>187</v>
      </c>
      <c r="C103" s="11">
        <f>SUM(C104:C108)</f>
        <v>0</v>
      </c>
      <c r="D103" s="11">
        <f>SUM(D104:D108)</f>
        <v>41000</v>
      </c>
      <c r="E103" s="11">
        <f>SUM(E104:E108)</f>
        <v>41000</v>
      </c>
      <c r="F103" s="11">
        <f>SUM(F104:F108)</f>
        <v>0</v>
      </c>
      <c r="G103" s="11">
        <f t="shared" ref="G103:H103" si="14">SUM(G104:G108)</f>
        <v>0</v>
      </c>
      <c r="H103" s="11">
        <f t="shared" si="14"/>
        <v>0</v>
      </c>
    </row>
    <row r="104" spans="1:8" x14ac:dyDescent="0.25">
      <c r="A104" s="10">
        <v>4231</v>
      </c>
      <c r="B104" s="15" t="s">
        <v>186</v>
      </c>
      <c r="C104" s="11">
        <v>0</v>
      </c>
      <c r="D104" s="14">
        <v>41000</v>
      </c>
      <c r="E104" s="14">
        <v>41000</v>
      </c>
      <c r="F104" s="14">
        <v>0</v>
      </c>
      <c r="G104" s="14">
        <v>0</v>
      </c>
      <c r="H104" s="14">
        <v>0</v>
      </c>
    </row>
  </sheetData>
  <mergeCells count="7">
    <mergeCell ref="A2:C2"/>
    <mergeCell ref="A3:B3"/>
    <mergeCell ref="A4:B4"/>
    <mergeCell ref="B6:F6"/>
    <mergeCell ref="B7:F7"/>
    <mergeCell ref="A9:B9"/>
    <mergeCell ref="A36:B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Dragica Anic</dc:creator>
  <cp:lastModifiedBy>Dragica Anic</cp:lastModifiedBy>
  <dcterms:created xsi:type="dcterms:W3CDTF">2024-04-19T11:04:12Z</dcterms:created>
  <dcterms:modified xsi:type="dcterms:W3CDTF">2024-04-19T12:43:32Z</dcterms:modified>
</cp:coreProperties>
</file>